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21" windowWidth="20445" windowHeight="4845" tabRatio="766" activeTab="2"/>
  </bookViews>
  <sheets>
    <sheet name="参加チーム" sheetId="1" r:id="rId1"/>
    <sheet name="１部" sheetId="2" r:id="rId2"/>
    <sheet name="１部対戦表" sheetId="3" r:id="rId3"/>
    <sheet name="２部北" sheetId="4" r:id="rId4"/>
    <sheet name="２部北対戦表" sheetId="5" r:id="rId5"/>
    <sheet name="２部南 " sheetId="6" r:id="rId6"/>
    <sheet name="２部南対戦表" sheetId="7" r:id="rId7"/>
  </sheets>
  <definedNames>
    <definedName name="_xlnm.Print_Area" localSheetId="1">'１部'!$B$1:$AX$37</definedName>
    <definedName name="_xlnm.Print_Area" localSheetId="2">'１部対戦表'!$A$1:$P$119</definedName>
    <definedName name="_xlnm.Print_Area" localSheetId="5">'２部南 '!$B$1:$AN$29</definedName>
    <definedName name="_xlnm.Print_Area" localSheetId="6">'２部南対戦表'!$A$1:$P$67</definedName>
    <definedName name="_xlnm.Print_Area" localSheetId="3">'２部北'!$B$1:$AN$29</definedName>
    <definedName name="_xlnm.Print_Area" localSheetId="4">'２部北対戦表'!$A$1:$P$67</definedName>
    <definedName name="_xlnm.Print_Area" localSheetId="0">'参加チーム'!$B$2:$F$71</definedName>
    <definedName name="_xlnm.Print_Titles" localSheetId="2">'１部対戦表'!$1:$1</definedName>
    <definedName name="_xlnm.Print_Titles" localSheetId="6">'２部南対戦表'!$1:$1</definedName>
    <definedName name="_xlnm.Print_Titles" localSheetId="4">'２部北対戦表'!$1:$1</definedName>
  </definedNames>
  <calcPr fullCalcOnLoad="1"/>
</workbook>
</file>

<file path=xl/comments3.xml><?xml version="1.0" encoding="utf-8"?>
<comments xmlns="http://schemas.openxmlformats.org/spreadsheetml/2006/main">
  <authors>
    <author>tobias</author>
  </authors>
  <commentList>
    <comment ref="D34" authorId="0">
      <text>
        <r>
          <rPr>
            <b/>
            <sz val="12"/>
            <rFont val="ＭＳ Ｐゴシック"/>
            <family val="3"/>
          </rPr>
          <t xml:space="preserve">東北大学選手権のため6/28（土）16：00～古川総合体育館で開催
</t>
        </r>
      </text>
    </comment>
  </commentList>
</comments>
</file>

<file path=xl/sharedStrings.xml><?xml version="1.0" encoding="utf-8"?>
<sst xmlns="http://schemas.openxmlformats.org/spreadsheetml/2006/main" count="1241" uniqueCount="255">
  <si>
    <t>北Ｄ</t>
  </si>
  <si>
    <t>北Ａ</t>
  </si>
  <si>
    <t>北Ｅ</t>
  </si>
  <si>
    <t>北Ｆ</t>
  </si>
  <si>
    <t>北Ｂ</t>
  </si>
  <si>
    <t>北Ｃ</t>
  </si>
  <si>
    <t>南Ｂ</t>
  </si>
  <si>
    <t>南Ｃ</t>
  </si>
  <si>
    <t>南Ｄ</t>
  </si>
  <si>
    <t>南Ｅ</t>
  </si>
  <si>
    <t>南Ｆ</t>
  </si>
  <si>
    <t>Ｂ</t>
  </si>
  <si>
    <t>Ｂ</t>
  </si>
  <si>
    <t>Ｃ</t>
  </si>
  <si>
    <t>Ｄ</t>
  </si>
  <si>
    <t>Ｄ</t>
  </si>
  <si>
    <t>Ｅ</t>
  </si>
  <si>
    <t>Ｅ</t>
  </si>
  <si>
    <t>Ｆ</t>
  </si>
  <si>
    <t>Ａ</t>
  </si>
  <si>
    <t>かちかち山</t>
  </si>
  <si>
    <t>カチカチヤマ</t>
  </si>
  <si>
    <t>福島県</t>
  </si>
  <si>
    <t>岩手県</t>
  </si>
  <si>
    <t>宮城県</t>
  </si>
  <si>
    <t>アトレチコ</t>
  </si>
  <si>
    <t>アトレチコ郡山</t>
  </si>
  <si>
    <t>山形県</t>
  </si>
  <si>
    <t>青森県</t>
  </si>
  <si>
    <t>南Ｂ</t>
  </si>
  <si>
    <t>南Ｃ</t>
  </si>
  <si>
    <t>南Ｄ</t>
  </si>
  <si>
    <t>南Ｅ</t>
  </si>
  <si>
    <t>南Ｆ</t>
  </si>
  <si>
    <t>北Ｆ</t>
  </si>
  <si>
    <t>東山総合
体育館</t>
  </si>
  <si>
    <t>Ｃ</t>
  </si>
  <si>
    <t>Ｅ</t>
  </si>
  <si>
    <t>Ｂ</t>
  </si>
  <si>
    <t>Ｆ</t>
  </si>
  <si>
    <t>Ａ</t>
  </si>
  <si>
    <t>Ｄ</t>
  </si>
  <si>
    <t>南Ａ</t>
  </si>
  <si>
    <t>Sabedoria</t>
  </si>
  <si>
    <t>会場担当</t>
  </si>
  <si>
    <t>日付</t>
  </si>
  <si>
    <t>会場</t>
  </si>
  <si>
    <t>時間</t>
  </si>
  <si>
    <t>対戦</t>
  </si>
  <si>
    <t>青森</t>
  </si>
  <si>
    <t>岩手</t>
  </si>
  <si>
    <t>秋田</t>
  </si>
  <si>
    <t>山形</t>
  </si>
  <si>
    <t/>
  </si>
  <si>
    <t>１部リーグ</t>
  </si>
  <si>
    <t>２部南東北リーグ</t>
  </si>
  <si>
    <t>２部北東北リーグ</t>
  </si>
  <si>
    <t>チーム名</t>
  </si>
  <si>
    <t>略称</t>
  </si>
  <si>
    <t>所属連盟</t>
  </si>
  <si>
    <t>宮城県</t>
  </si>
  <si>
    <t>福島県</t>
  </si>
  <si>
    <t>BANFF</t>
  </si>
  <si>
    <t>南Ａ</t>
  </si>
  <si>
    <t>北Ａ</t>
  </si>
  <si>
    <t>北Ｂ</t>
  </si>
  <si>
    <t>北Ｃ</t>
  </si>
  <si>
    <t>北Ｄ</t>
  </si>
  <si>
    <t>北Ｅ</t>
  </si>
  <si>
    <t>勝</t>
  </si>
  <si>
    <t>分</t>
  </si>
  <si>
    <t>負</t>
  </si>
  <si>
    <t>勝点</t>
  </si>
  <si>
    <t>得点</t>
  </si>
  <si>
    <t>失点</t>
  </si>
  <si>
    <t>点差</t>
  </si>
  <si>
    <t>順位</t>
  </si>
  <si>
    <r>
      <t>※勝点</t>
    </r>
    <r>
      <rPr>
        <sz val="10"/>
        <rFont val="ＭＳ Ｐゴシック"/>
        <family val="3"/>
      </rPr>
      <t>　　　　　　勝ち○＝３　　引き分け△＝１　　負け●＝０</t>
    </r>
  </si>
  <si>
    <t>（</t>
  </si>
  <si>
    <t>）</t>
  </si>
  <si>
    <t>対</t>
  </si>
  <si>
    <t>宮城</t>
  </si>
  <si>
    <t>検索用</t>
  </si>
  <si>
    <t>No.</t>
  </si>
  <si>
    <t>チーム</t>
  </si>
  <si>
    <t>チーム</t>
  </si>
  <si>
    <t>勝</t>
  </si>
  <si>
    <t>分</t>
  </si>
  <si>
    <t>負</t>
  </si>
  <si>
    <t>点</t>
  </si>
  <si>
    <t>得点</t>
  </si>
  <si>
    <t>失点</t>
  </si>
  <si>
    <t>点差</t>
  </si>
  <si>
    <t>前期組合せ</t>
  </si>
  <si>
    <t>後期組合せ</t>
  </si>
  <si>
    <t>No.</t>
  </si>
  <si>
    <t>チーム</t>
  </si>
  <si>
    <t>チーム</t>
  </si>
  <si>
    <t>ランク</t>
  </si>
  <si>
    <t>南Ａ</t>
  </si>
  <si>
    <t>南Ｃ</t>
  </si>
  <si>
    <t>福島</t>
  </si>
  <si>
    <t>No.</t>
  </si>
  <si>
    <t>チーム</t>
  </si>
  <si>
    <t>南Ｂ</t>
  </si>
  <si>
    <t>南Ｃ</t>
  </si>
  <si>
    <t>南Ｄ</t>
  </si>
  <si>
    <t>南Ｅ</t>
  </si>
  <si>
    <t>南Ｆ</t>
  </si>
  <si>
    <t>懲罰集計</t>
  </si>
  <si>
    <t>チーム名</t>
  </si>
  <si>
    <t>懲罰</t>
  </si>
  <si>
    <t>サベドリーア</t>
  </si>
  <si>
    <t>H</t>
  </si>
  <si>
    <t>Ｆ</t>
  </si>
  <si>
    <t>アトレチココオリヤマ</t>
  </si>
  <si>
    <t>G</t>
  </si>
  <si>
    <t>日本語表記</t>
  </si>
  <si>
    <t>イタチカハチノヘ</t>
  </si>
  <si>
    <t>Itatica八戸</t>
  </si>
  <si>
    <t>マルバヤマガタエフシー</t>
  </si>
  <si>
    <t>カミノヤマカメレオンエフシー</t>
  </si>
  <si>
    <t>上山カメレオンFC</t>
  </si>
  <si>
    <t>東北大学フットサル部　D-GUCCI</t>
  </si>
  <si>
    <t>volviendo郡山</t>
  </si>
  <si>
    <t>アスール　エル　シエロ</t>
  </si>
  <si>
    <t>azul el cielo</t>
  </si>
  <si>
    <t>ヴィヴァーレイチノセキ</t>
  </si>
  <si>
    <t>ヴィヴァーレ一関</t>
  </si>
  <si>
    <t>ＣＲＯＳＳ　ＣＯＬＯＵＲＳ</t>
  </si>
  <si>
    <t>ヴィヴァーレ</t>
  </si>
  <si>
    <t>CROSS</t>
  </si>
  <si>
    <t>岩手県</t>
  </si>
  <si>
    <t>ヴィヴァーレ</t>
  </si>
  <si>
    <t>東北大学</t>
  </si>
  <si>
    <t>volviendo</t>
  </si>
  <si>
    <t>azul</t>
  </si>
  <si>
    <t>ヴォルビエント</t>
  </si>
  <si>
    <t>アスール</t>
  </si>
  <si>
    <t>ステラミーゴ</t>
  </si>
  <si>
    <t>Itatica</t>
  </si>
  <si>
    <t>malva</t>
  </si>
  <si>
    <t>バンフ</t>
  </si>
  <si>
    <t>バンフ</t>
  </si>
  <si>
    <t>アトレチコ</t>
  </si>
  <si>
    <t>イタチカ</t>
  </si>
  <si>
    <t>マルバ</t>
  </si>
  <si>
    <t>Ａ</t>
  </si>
  <si>
    <t>G</t>
  </si>
  <si>
    <t>H</t>
  </si>
  <si>
    <t>本宮市総合
体育館</t>
  </si>
  <si>
    <t>Ｂ</t>
  </si>
  <si>
    <t>対</t>
  </si>
  <si>
    <t>塩釜ガス
体育館</t>
  </si>
  <si>
    <t>コード</t>
  </si>
  <si>
    <t>並べ変え機能です</t>
  </si>
  <si>
    <t>↓下へ表全体を値だけコピーし
順位などで並べ替えると
表全体が並べ替えられます</t>
  </si>
  <si>
    <t>大館樹海
体育館</t>
  </si>
  <si>
    <t>上山市生涯
学習センター</t>
  </si>
  <si>
    <t>西部第二
体育館</t>
  </si>
  <si>
    <t>マエダ
アリーナ</t>
  </si>
  <si>
    <t>カメレオン</t>
  </si>
  <si>
    <t>ステラミーゴいわて花巻／AMV</t>
  </si>
  <si>
    <t>BANFF SENDAI</t>
  </si>
  <si>
    <t>ｍａｌｖａ山形fc</t>
  </si>
  <si>
    <t>ステラミーゴイワテハナマキ／エーエムブイ</t>
  </si>
  <si>
    <t>トウホクダイガクフットサルクラブ　ディーグッチ</t>
  </si>
  <si>
    <t>ヴォルビエントコオリヤマ</t>
  </si>
  <si>
    <t>クロス　カラーズ</t>
  </si>
  <si>
    <t>南Ｄ</t>
  </si>
  <si>
    <t>南Ｅ</t>
  </si>
  <si>
    <t>南Ｆ</t>
  </si>
  <si>
    <t>南Ｂ</t>
  </si>
  <si>
    <t>順位
補正</t>
  </si>
  <si>
    <t>○</t>
  </si>
  <si>
    <t>●</t>
  </si>
  <si>
    <t>　</t>
  </si>
  <si>
    <t>第12回東北フットサルリーグ</t>
  </si>
  <si>
    <t>ヴォスクオーレ仙台サテライト</t>
  </si>
  <si>
    <t>ヴォスクオーレセンダイサテライト</t>
  </si>
  <si>
    <t>バンフ　センダイ</t>
  </si>
  <si>
    <t>ｳﾞｫｽｸｵｰﾚ</t>
  </si>
  <si>
    <t>ULTIMO</t>
  </si>
  <si>
    <t>ウルティモ</t>
  </si>
  <si>
    <t>ULTIMO</t>
  </si>
  <si>
    <t>ウルティモ</t>
  </si>
  <si>
    <t>宮城県</t>
  </si>
  <si>
    <t>Zoorasia S.F.T</t>
  </si>
  <si>
    <t>ズーラシア　エス・エフ・ティー</t>
  </si>
  <si>
    <t>Zoorasia</t>
  </si>
  <si>
    <t>ズーラシア</t>
  </si>
  <si>
    <t>Craque天童</t>
  </si>
  <si>
    <t>クラッキテンドウ</t>
  </si>
  <si>
    <t>Craque</t>
  </si>
  <si>
    <t>クラッキ</t>
  </si>
  <si>
    <t>カリオカアオモリ</t>
  </si>
  <si>
    <t>Carioca青森</t>
  </si>
  <si>
    <t>Carioca</t>
  </si>
  <si>
    <t>カリオカ</t>
  </si>
  <si>
    <t>F・Rionきみまち</t>
  </si>
  <si>
    <t>エフ・リオンキミマチ</t>
  </si>
  <si>
    <t>Rion</t>
  </si>
  <si>
    <t>リオン</t>
  </si>
  <si>
    <t>秋田県</t>
  </si>
  <si>
    <t>ピエトラ</t>
  </si>
  <si>
    <t>PIETRA</t>
  </si>
  <si>
    <t>PIETRA</t>
  </si>
  <si>
    <t>ピエトラ</t>
  </si>
  <si>
    <t>かちかち山</t>
  </si>
  <si>
    <t>マルバ</t>
  </si>
  <si>
    <t>サベドリーア</t>
  </si>
  <si>
    <t>ヴォルビエント</t>
  </si>
  <si>
    <t>東北大学</t>
  </si>
  <si>
    <t>クロス</t>
  </si>
  <si>
    <t>クロス</t>
  </si>
  <si>
    <t>ヴォスクオーレ</t>
  </si>
  <si>
    <t>第12回東北フットサルリーグ１部　成績表</t>
  </si>
  <si>
    <t>第12回東北フットサルリーグ１部　対戦表</t>
  </si>
  <si>
    <t>一関市総合体育館</t>
  </si>
  <si>
    <t>本宮市総合体育館</t>
  </si>
  <si>
    <t>上山市体育文化ｾﾝﾀｰ</t>
  </si>
  <si>
    <t>古川総合
体育館</t>
  </si>
  <si>
    <t>滝沢総合
公園体育館</t>
  </si>
  <si>
    <t>Ａ</t>
  </si>
  <si>
    <t>Ｂ</t>
  </si>
  <si>
    <t>Ｃ</t>
  </si>
  <si>
    <t>Ｄ</t>
  </si>
  <si>
    <t>Ｅ</t>
  </si>
  <si>
    <t>Ｆ</t>
  </si>
  <si>
    <t>G</t>
  </si>
  <si>
    <t>H</t>
  </si>
  <si>
    <t>Ｓａｂｅｄｏｒｉａ</t>
  </si>
  <si>
    <t>南陽市民
体育館</t>
  </si>
  <si>
    <t>H</t>
  </si>
  <si>
    <t>Ｂ</t>
  </si>
  <si>
    <t>Ｅ</t>
  </si>
  <si>
    <t>Ｃ</t>
  </si>
  <si>
    <t>Ｆ</t>
  </si>
  <si>
    <t>Ｄ</t>
  </si>
  <si>
    <t>Ａ</t>
  </si>
  <si>
    <t>G</t>
  </si>
  <si>
    <t>FDS担当</t>
  </si>
  <si>
    <t>第12回東北フットサルリーグ２部南　対戦表</t>
  </si>
  <si>
    <t>第12回東北フットサルリーグ２部南　成績表</t>
  </si>
  <si>
    <t>小野町民
体育館</t>
  </si>
  <si>
    <t>本宮市総合
体育館</t>
  </si>
  <si>
    <t>第12回東北フットサルリーグ２部北　対戦表</t>
  </si>
  <si>
    <t>湯沢市総合
体育館</t>
  </si>
  <si>
    <t>一関市総合
体育館</t>
  </si>
  <si>
    <t>大館樹海
体育館</t>
  </si>
  <si>
    <t>マエダ
アリーナ</t>
  </si>
  <si>
    <t>長根体育館</t>
  </si>
  <si>
    <t>岩手県営
体育館</t>
  </si>
  <si>
    <t>北Ｆ</t>
  </si>
  <si>
    <t>第12回東北フットサルリーグ２部北　成績表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</si>
</sst>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&quot;節&quot;"/>
    <numFmt numFmtId="178" formatCode="&quot;第&quot;#&quot;節&quot;"/>
    <numFmt numFmtId="179" formatCode="m&quot;月&quot;d&quot;日&quot;;@"/>
    <numFmt numFmtId="180" formatCode="yyyy&quot;年&quot;m&quot;月&quot;d&quot;日&quot;"/>
  </numFmts>
  <fonts count="6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b/>
      <sz val="14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Ｐゴシック"/>
      <family val="3"/>
    </font>
    <font>
      <sz val="11"/>
      <name val="Osaka"/>
      <family val="3"/>
    </font>
    <font>
      <sz val="11"/>
      <name val="ＭＳ Ｐゴシック"/>
      <family val="3"/>
    </font>
    <font>
      <b/>
      <sz val="20"/>
      <name val="Osaka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0"/>
      <name val="HGｺﾞｼｯｸE"/>
      <family val="3"/>
    </font>
    <font>
      <b/>
      <sz val="16"/>
      <color indexed="10"/>
      <name val="Osaka"/>
      <family val="3"/>
    </font>
    <font>
      <sz val="14"/>
      <name val="Osaka"/>
      <family val="3"/>
    </font>
    <font>
      <sz val="10"/>
      <name val="Osaka"/>
      <family val="3"/>
    </font>
    <font>
      <b/>
      <sz val="1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8"/>
      <name val="Osak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12" fillId="0" borderId="0">
      <alignment vertical="center"/>
      <protection/>
    </xf>
    <xf numFmtId="0" fontId="9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450">
    <xf numFmtId="0" fontId="0" fillId="0" borderId="0" xfId="0" applyAlignment="1">
      <alignment/>
    </xf>
    <xf numFmtId="0" fontId="7" fillId="0" borderId="10" xfId="61" applyFont="1" applyBorder="1" applyAlignment="1">
      <alignment horizontal="center" vertical="center"/>
      <protection/>
    </xf>
    <xf numFmtId="0" fontId="7" fillId="32" borderId="11" xfId="61" applyFont="1" applyFill="1" applyBorder="1" applyAlignment="1">
      <alignment vertical="center"/>
      <protection/>
    </xf>
    <xf numFmtId="0" fontId="7" fillId="32" borderId="12" xfId="61" applyFont="1" applyFill="1" applyBorder="1" applyAlignment="1">
      <alignment vertical="center"/>
      <protection/>
    </xf>
    <xf numFmtId="0" fontId="12" fillId="33" borderId="0" xfId="61" applyFill="1" applyAlignment="1">
      <alignment vertical="top"/>
      <protection/>
    </xf>
    <xf numFmtId="0" fontId="12" fillId="32" borderId="13" xfId="61" applyFill="1" applyBorder="1" applyAlignment="1">
      <alignment horizontal="center" vertical="center"/>
      <protection/>
    </xf>
    <xf numFmtId="0" fontId="7" fillId="34" borderId="13" xfId="61" applyFont="1" applyFill="1" applyBorder="1" applyAlignment="1">
      <alignment horizontal="center" vertical="center" shrinkToFit="1"/>
      <protection/>
    </xf>
    <xf numFmtId="0" fontId="12" fillId="35" borderId="14" xfId="61" applyFill="1" applyBorder="1" applyAlignment="1">
      <alignment horizontal="center" vertical="center" shrinkToFit="1"/>
      <protection/>
    </xf>
    <xf numFmtId="0" fontId="12" fillId="35" borderId="13" xfId="61" applyFill="1" applyBorder="1" applyAlignment="1">
      <alignment horizontal="center" vertical="center" shrinkToFit="1"/>
      <protection/>
    </xf>
    <xf numFmtId="0" fontId="12" fillId="35" borderId="15" xfId="61" applyFill="1" applyBorder="1" applyAlignment="1">
      <alignment horizontal="center" vertical="center" shrinkToFit="1"/>
      <protection/>
    </xf>
    <xf numFmtId="0" fontId="12" fillId="32" borderId="16" xfId="61" applyFont="1" applyFill="1" applyBorder="1" applyAlignment="1">
      <alignment horizontal="center" vertical="center"/>
      <protection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16" fillId="0" borderId="0" xfId="0" applyFont="1" applyAlignment="1">
      <alignment/>
    </xf>
    <xf numFmtId="0" fontId="16" fillId="36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8" fillId="33" borderId="21" xfId="61" applyFont="1" applyFill="1" applyBorder="1" applyAlignment="1">
      <alignment horizontal="center" vertical="center"/>
      <protection/>
    </xf>
    <xf numFmtId="0" fontId="18" fillId="33" borderId="22" xfId="61" applyFont="1" applyFill="1" applyBorder="1" applyAlignment="1">
      <alignment horizontal="center" vertical="center"/>
      <protection/>
    </xf>
    <xf numFmtId="0" fontId="18" fillId="33" borderId="23" xfId="61" applyFont="1" applyFill="1" applyBorder="1" applyAlignment="1">
      <alignment horizontal="center" vertical="center"/>
      <protection/>
    </xf>
    <xf numFmtId="0" fontId="18" fillId="33" borderId="24" xfId="61" applyFont="1" applyFill="1" applyBorder="1" applyAlignment="1">
      <alignment horizontal="center" vertical="center" wrapText="1"/>
      <protection/>
    </xf>
    <xf numFmtId="0" fontId="18" fillId="33" borderId="25" xfId="61" applyFont="1" applyFill="1" applyBorder="1" applyAlignment="1">
      <alignment horizontal="center" vertical="center" wrapText="1"/>
      <protection/>
    </xf>
    <xf numFmtId="0" fontId="18" fillId="33" borderId="26" xfId="61" applyFont="1" applyFill="1" applyBorder="1" applyAlignment="1">
      <alignment horizontal="center" vertical="center" wrapText="1"/>
      <protection/>
    </xf>
    <xf numFmtId="0" fontId="12" fillId="32" borderId="27" xfId="61" applyFill="1" applyBorder="1" applyAlignment="1">
      <alignment horizontal="center" vertical="center"/>
      <protection/>
    </xf>
    <xf numFmtId="0" fontId="18" fillId="33" borderId="28" xfId="61" applyFont="1" applyFill="1" applyBorder="1" applyAlignment="1">
      <alignment horizontal="center" vertical="center"/>
      <protection/>
    </xf>
    <xf numFmtId="0" fontId="18" fillId="33" borderId="29" xfId="61" applyFont="1" applyFill="1" applyBorder="1" applyAlignment="1">
      <alignment horizontal="center" vertical="center"/>
      <protection/>
    </xf>
    <xf numFmtId="0" fontId="18" fillId="33" borderId="30" xfId="61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16" fillId="32" borderId="10" xfId="61" applyFont="1" applyFill="1" applyBorder="1" applyAlignment="1">
      <alignment horizontal="center" vertical="center"/>
      <protection/>
    </xf>
    <xf numFmtId="0" fontId="14" fillId="0" borderId="14" xfId="0" applyFont="1" applyBorder="1" applyAlignment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/>
    </xf>
    <xf numFmtId="0" fontId="16" fillId="32" borderId="0" xfId="6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2" fillId="0" borderId="36" xfId="61" applyFont="1" applyBorder="1" applyAlignment="1">
      <alignment vertical="center"/>
      <protection/>
    </xf>
    <xf numFmtId="0" fontId="12" fillId="0" borderId="34" xfId="61" applyFont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4" fillId="32" borderId="11" xfId="61" applyFont="1" applyFill="1" applyBorder="1" applyAlignment="1">
      <alignment vertical="center"/>
      <protection/>
    </xf>
    <xf numFmtId="0" fontId="4" fillId="32" borderId="12" xfId="61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7" fillId="3" borderId="13" xfId="6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vertical="center"/>
    </xf>
    <xf numFmtId="0" fontId="7" fillId="32" borderId="37" xfId="61" applyFont="1" applyFill="1" applyBorder="1" applyAlignment="1">
      <alignment vertical="center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21" fillId="37" borderId="0" xfId="0" applyFont="1" applyFill="1" applyAlignment="1" applyProtection="1">
      <alignment horizontal="center" vertical="center"/>
      <protection locked="0"/>
    </xf>
    <xf numFmtId="0" fontId="14" fillId="32" borderId="10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top"/>
    </xf>
    <xf numFmtId="0" fontId="16" fillId="0" borderId="39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>
      <alignment horizontal="center" vertical="top"/>
    </xf>
    <xf numFmtId="0" fontId="16" fillId="0" borderId="36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/>
    </xf>
    <xf numFmtId="0" fontId="16" fillId="0" borderId="40" xfId="0" applyFont="1" applyFill="1" applyBorder="1" applyAlignment="1" applyProtection="1">
      <alignment horizontal="center"/>
      <protection locked="0"/>
    </xf>
    <xf numFmtId="0" fontId="12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27" xfId="0" applyFont="1" applyFill="1" applyBorder="1" applyAlignment="1">
      <alignment/>
    </xf>
    <xf numFmtId="0" fontId="14" fillId="0" borderId="3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/>
    </xf>
    <xf numFmtId="0" fontId="16" fillId="0" borderId="45" xfId="0" applyFont="1" applyFill="1" applyBorder="1" applyAlignment="1">
      <alignment horizontal="center" vertical="center" shrinkToFit="1"/>
    </xf>
    <xf numFmtId="56" fontId="16" fillId="0" borderId="46" xfId="0" applyNumberFormat="1" applyFont="1" applyFill="1" applyBorder="1" applyAlignment="1">
      <alignment/>
    </xf>
    <xf numFmtId="0" fontId="16" fillId="0" borderId="47" xfId="0" applyFont="1" applyFill="1" applyBorder="1" applyAlignment="1">
      <alignment/>
    </xf>
    <xf numFmtId="56" fontId="16" fillId="0" borderId="4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 shrinkToFit="1"/>
    </xf>
    <xf numFmtId="56" fontId="16" fillId="0" borderId="2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6" fillId="0" borderId="40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6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18" fillId="33" borderId="61" xfId="61" applyNumberFormat="1" applyFont="1" applyFill="1" applyBorder="1" applyAlignment="1">
      <alignment horizontal="center" vertical="center"/>
      <protection/>
    </xf>
    <xf numFmtId="179" fontId="18" fillId="33" borderId="62" xfId="61" applyNumberFormat="1" applyFont="1" applyFill="1" applyBorder="1" applyAlignment="1">
      <alignment horizontal="center" vertical="center"/>
      <protection/>
    </xf>
    <xf numFmtId="179" fontId="18" fillId="33" borderId="63" xfId="61" applyNumberFormat="1" applyFont="1" applyFill="1" applyBorder="1" applyAlignment="1">
      <alignment horizontal="center" vertical="center"/>
      <protection/>
    </xf>
    <xf numFmtId="179" fontId="18" fillId="33" borderId="44" xfId="61" applyNumberFormat="1" applyFont="1" applyFill="1" applyBorder="1" applyAlignment="1">
      <alignment horizontal="center" vertical="center" wrapText="1"/>
      <protection/>
    </xf>
    <xf numFmtId="179" fontId="18" fillId="33" borderId="45" xfId="61" applyNumberFormat="1" applyFont="1" applyFill="1" applyBorder="1" applyAlignment="1">
      <alignment horizontal="center" vertical="center" wrapText="1"/>
      <protection/>
    </xf>
    <xf numFmtId="179" fontId="18" fillId="33" borderId="46" xfId="61" applyNumberFormat="1" applyFont="1" applyFill="1" applyBorder="1" applyAlignment="1">
      <alignment horizontal="center" vertical="center" wrapText="1"/>
      <protection/>
    </xf>
    <xf numFmtId="0" fontId="18" fillId="0" borderId="64" xfId="61" applyFont="1" applyBorder="1" applyAlignment="1">
      <alignment horizontal="center" vertical="center"/>
      <protection/>
    </xf>
    <xf numFmtId="0" fontId="18" fillId="0" borderId="65" xfId="61" applyFont="1" applyBorder="1" applyAlignment="1">
      <alignment horizontal="center" vertical="center"/>
      <protection/>
    </xf>
    <xf numFmtId="0" fontId="18" fillId="0" borderId="66" xfId="61" applyFont="1" applyBorder="1" applyAlignment="1">
      <alignment horizontal="center" vertical="center"/>
      <protection/>
    </xf>
    <xf numFmtId="0" fontId="18" fillId="0" borderId="67" xfId="61" applyFont="1" applyBorder="1" applyAlignment="1">
      <alignment horizontal="center" vertical="center"/>
      <protection/>
    </xf>
    <xf numFmtId="0" fontId="18" fillId="0" borderId="68" xfId="61" applyFont="1" applyBorder="1" applyAlignment="1">
      <alignment horizontal="center" vertical="center"/>
      <protection/>
    </xf>
    <xf numFmtId="0" fontId="18" fillId="0" borderId="69" xfId="61" applyFont="1" applyBorder="1" applyAlignment="1">
      <alignment horizontal="center" vertical="center"/>
      <protection/>
    </xf>
    <xf numFmtId="0" fontId="18" fillId="0" borderId="70" xfId="61" applyFont="1" applyBorder="1" applyAlignment="1">
      <alignment horizontal="center" vertical="center"/>
      <protection/>
    </xf>
    <xf numFmtId="0" fontId="18" fillId="0" borderId="71" xfId="61" applyFont="1" applyBorder="1" applyAlignment="1">
      <alignment horizontal="center" vertical="center"/>
      <protection/>
    </xf>
    <xf numFmtId="0" fontId="18" fillId="0" borderId="72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73" xfId="61" applyFont="1" applyBorder="1" applyAlignment="1">
      <alignment horizontal="center" vertical="center"/>
      <protection/>
    </xf>
    <xf numFmtId="0" fontId="15" fillId="0" borderId="74" xfId="61" applyFont="1" applyBorder="1" applyAlignment="1">
      <alignment horizontal="center" vertical="center"/>
      <protection/>
    </xf>
    <xf numFmtId="0" fontId="15" fillId="0" borderId="75" xfId="61" applyFont="1" applyBorder="1" applyAlignment="1">
      <alignment horizontal="center" vertical="center"/>
      <protection/>
    </xf>
    <xf numFmtId="0" fontId="4" fillId="32" borderId="11" xfId="61" applyFont="1" applyFill="1" applyBorder="1" applyAlignment="1">
      <alignment horizontal="center" vertical="center" shrinkToFit="1"/>
      <protection/>
    </xf>
    <xf numFmtId="0" fontId="4" fillId="32" borderId="76" xfId="61" applyFont="1" applyFill="1" applyBorder="1" applyAlignment="1">
      <alignment horizontal="center" vertical="center" shrinkToFit="1"/>
      <protection/>
    </xf>
    <xf numFmtId="179" fontId="18" fillId="33" borderId="77" xfId="61" applyNumberFormat="1" applyFont="1" applyFill="1" applyBorder="1" applyAlignment="1">
      <alignment horizontal="center" vertical="center"/>
      <protection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18" fillId="0" borderId="80" xfId="61" applyFont="1" applyBorder="1" applyAlignment="1">
      <alignment horizontal="center" vertical="center"/>
      <protection/>
    </xf>
    <xf numFmtId="0" fontId="18" fillId="0" borderId="81" xfId="61" applyFont="1" applyBorder="1" applyAlignment="1">
      <alignment horizontal="center" vertical="center"/>
      <protection/>
    </xf>
    <xf numFmtId="0" fontId="18" fillId="0" borderId="82" xfId="61" applyFont="1" applyBorder="1" applyAlignment="1">
      <alignment horizontal="center" vertical="center"/>
      <protection/>
    </xf>
    <xf numFmtId="0" fontId="18" fillId="0" borderId="83" xfId="61" applyFont="1" applyBorder="1" applyAlignment="1">
      <alignment horizontal="center" vertical="center"/>
      <protection/>
    </xf>
    <xf numFmtId="0" fontId="18" fillId="0" borderId="84" xfId="61" applyFont="1" applyBorder="1" applyAlignment="1">
      <alignment horizontal="center" vertical="center"/>
      <protection/>
    </xf>
    <xf numFmtId="0" fontId="15" fillId="35" borderId="36" xfId="61" applyFont="1" applyFill="1" applyBorder="1" applyAlignment="1">
      <alignment horizontal="center" vertical="center"/>
      <protection/>
    </xf>
    <xf numFmtId="0" fontId="15" fillId="35" borderId="40" xfId="61" applyFont="1" applyFill="1" applyBorder="1" applyAlignment="1">
      <alignment horizontal="center" vertical="center"/>
      <protection/>
    </xf>
    <xf numFmtId="0" fontId="15" fillId="0" borderId="76" xfId="61" applyFont="1" applyBorder="1" applyAlignment="1">
      <alignment horizontal="center" vertical="center"/>
      <protection/>
    </xf>
    <xf numFmtId="0" fontId="15" fillId="0" borderId="85" xfId="61" applyFont="1" applyBorder="1" applyAlignment="1">
      <alignment horizontal="center" vertical="center"/>
      <protection/>
    </xf>
    <xf numFmtId="0" fontId="15" fillId="0" borderId="34" xfId="61" applyFont="1" applyBorder="1" applyAlignment="1">
      <alignment horizontal="center" vertical="center"/>
      <protection/>
    </xf>
    <xf numFmtId="0" fontId="15" fillId="0" borderId="86" xfId="61" applyFont="1" applyBorder="1" applyAlignment="1">
      <alignment horizontal="center" vertical="center"/>
      <protection/>
    </xf>
    <xf numFmtId="0" fontId="15" fillId="34" borderId="33" xfId="61" applyFont="1" applyFill="1" applyBorder="1" applyAlignment="1">
      <alignment horizontal="center" vertical="center"/>
      <protection/>
    </xf>
    <xf numFmtId="0" fontId="15" fillId="34" borderId="34" xfId="61" applyFont="1" applyFill="1" applyBorder="1" applyAlignment="1">
      <alignment horizontal="center" vertical="center"/>
      <protection/>
    </xf>
    <xf numFmtId="0" fontId="15" fillId="34" borderId="35" xfId="61" applyFont="1" applyFill="1" applyBorder="1" applyAlignment="1">
      <alignment horizontal="center" vertical="center"/>
      <protection/>
    </xf>
    <xf numFmtId="0" fontId="15" fillId="35" borderId="49" xfId="61" applyFont="1" applyFill="1" applyBorder="1" applyAlignment="1">
      <alignment horizontal="center" vertical="center"/>
      <protection/>
    </xf>
    <xf numFmtId="0" fontId="15" fillId="34" borderId="86" xfId="61" applyFont="1" applyFill="1" applyBorder="1" applyAlignment="1">
      <alignment horizontal="center" vertical="center"/>
      <protection/>
    </xf>
    <xf numFmtId="0" fontId="15" fillId="35" borderId="50" xfId="61" applyFont="1" applyFill="1" applyBorder="1" applyAlignment="1">
      <alignment horizontal="center" vertical="center"/>
      <protection/>
    </xf>
    <xf numFmtId="0" fontId="15" fillId="35" borderId="87" xfId="61" applyFont="1" applyFill="1" applyBorder="1" applyAlignment="1">
      <alignment horizontal="center" vertical="center"/>
      <protection/>
    </xf>
    <xf numFmtId="0" fontId="15" fillId="35" borderId="88" xfId="61" applyFont="1" applyFill="1" applyBorder="1" applyAlignment="1">
      <alignment horizontal="center" vertical="center"/>
      <protection/>
    </xf>
    <xf numFmtId="0" fontId="15" fillId="35" borderId="89" xfId="61" applyFont="1" applyFill="1" applyBorder="1" applyAlignment="1">
      <alignment horizontal="center" vertical="center"/>
      <protection/>
    </xf>
    <xf numFmtId="0" fontId="15" fillId="35" borderId="33" xfId="61" applyFont="1" applyFill="1" applyBorder="1" applyAlignment="1">
      <alignment horizontal="center" vertical="center"/>
      <protection/>
    </xf>
    <xf numFmtId="0" fontId="15" fillId="35" borderId="34" xfId="61" applyFont="1" applyFill="1" applyBorder="1" applyAlignment="1">
      <alignment horizontal="center" vertical="center"/>
      <protection/>
    </xf>
    <xf numFmtId="0" fontId="15" fillId="35" borderId="35" xfId="61" applyFont="1" applyFill="1" applyBorder="1" applyAlignment="1">
      <alignment horizontal="center" vertical="center"/>
      <protection/>
    </xf>
    <xf numFmtId="0" fontId="15" fillId="0" borderId="35" xfId="61" applyFont="1" applyBorder="1" applyAlignment="1">
      <alignment horizontal="center" vertical="center"/>
      <protection/>
    </xf>
    <xf numFmtId="179" fontId="18" fillId="33" borderId="47" xfId="61" applyNumberFormat="1" applyFont="1" applyFill="1" applyBorder="1" applyAlignment="1">
      <alignment horizontal="center" vertical="center"/>
      <protection/>
    </xf>
    <xf numFmtId="179" fontId="18" fillId="33" borderId="0" xfId="61" applyNumberFormat="1" applyFont="1" applyFill="1" applyBorder="1" applyAlignment="1">
      <alignment horizontal="center" vertical="center"/>
      <protection/>
    </xf>
    <xf numFmtId="179" fontId="18" fillId="33" borderId="48" xfId="61" applyNumberFormat="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90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4" fillId="32" borderId="73" xfId="61" applyFont="1" applyFill="1" applyBorder="1" applyAlignment="1">
      <alignment horizontal="center" vertical="center" shrinkToFit="1"/>
      <protection/>
    </xf>
    <xf numFmtId="0" fontId="18" fillId="0" borderId="91" xfId="61" applyFont="1" applyBorder="1" applyAlignment="1">
      <alignment horizontal="center" vertical="center"/>
      <protection/>
    </xf>
    <xf numFmtId="0" fontId="18" fillId="0" borderId="92" xfId="61" applyFont="1" applyBorder="1" applyAlignment="1">
      <alignment horizontal="center" vertical="center"/>
      <protection/>
    </xf>
    <xf numFmtId="0" fontId="18" fillId="0" borderId="93" xfId="61" applyFont="1" applyBorder="1" applyAlignment="1">
      <alignment horizontal="center" vertical="center"/>
      <protection/>
    </xf>
    <xf numFmtId="0" fontId="18" fillId="0" borderId="94" xfId="61" applyFont="1" applyBorder="1" applyAlignment="1">
      <alignment horizontal="center" vertical="center"/>
      <protection/>
    </xf>
    <xf numFmtId="0" fontId="18" fillId="0" borderId="95" xfId="61" applyFont="1" applyBorder="1" applyAlignment="1">
      <alignment horizontal="center" vertical="center"/>
      <protection/>
    </xf>
    <xf numFmtId="0" fontId="7" fillId="33" borderId="96" xfId="61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20" fontId="16" fillId="0" borderId="33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20" fontId="16" fillId="0" borderId="38" xfId="0" applyNumberFormat="1" applyFont="1" applyFill="1" applyBorder="1" applyAlignment="1">
      <alignment horizontal="center" vertical="center"/>
    </xf>
    <xf numFmtId="20" fontId="12" fillId="0" borderId="3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178" fontId="16" fillId="0" borderId="98" xfId="0" applyNumberFormat="1" applyFont="1" applyFill="1" applyBorder="1" applyAlignment="1">
      <alignment horizontal="center" vertical="center" shrinkToFit="1"/>
    </xf>
    <xf numFmtId="178" fontId="16" fillId="0" borderId="74" xfId="0" applyNumberFormat="1" applyFont="1" applyFill="1" applyBorder="1" applyAlignment="1">
      <alignment horizontal="center" vertical="center" shrinkToFit="1"/>
    </xf>
    <xf numFmtId="178" fontId="16" fillId="0" borderId="85" xfId="0" applyNumberFormat="1" applyFont="1" applyFill="1" applyBorder="1" applyAlignment="1">
      <alignment horizontal="center" vertical="center" shrinkToFit="1"/>
    </xf>
    <xf numFmtId="56" fontId="18" fillId="0" borderId="39" xfId="0" applyNumberFormat="1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20" fontId="12" fillId="0" borderId="38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86" xfId="0" applyFont="1" applyFill="1" applyBorder="1" applyAlignment="1">
      <alignment horizontal="center" vertical="center" shrinkToFit="1"/>
    </xf>
    <xf numFmtId="56" fontId="18" fillId="0" borderId="35" xfId="0" applyNumberFormat="1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shrinkToFit="1"/>
    </xf>
    <xf numFmtId="0" fontId="17" fillId="32" borderId="11" xfId="61" applyFont="1" applyFill="1" applyBorder="1" applyAlignment="1">
      <alignment horizontal="center" vertical="center" shrinkToFit="1"/>
      <protection/>
    </xf>
    <xf numFmtId="0" fontId="17" fillId="32" borderId="73" xfId="61" applyFont="1" applyFill="1" applyBorder="1" applyAlignment="1">
      <alignment horizontal="center" vertical="center" shrinkToFit="1"/>
      <protection/>
    </xf>
    <xf numFmtId="0" fontId="17" fillId="32" borderId="76" xfId="61" applyFont="1" applyFill="1" applyBorder="1" applyAlignment="1">
      <alignment horizontal="center" vertical="center" shrinkToFit="1"/>
      <protection/>
    </xf>
    <xf numFmtId="0" fontId="15" fillId="0" borderId="37" xfId="6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79" fontId="18" fillId="33" borderId="42" xfId="61" applyNumberFormat="1" applyFont="1" applyFill="1" applyBorder="1" applyAlignment="1">
      <alignment horizontal="center" vertical="center" wrapText="1"/>
      <protection/>
    </xf>
    <xf numFmtId="179" fontId="18" fillId="33" borderId="99" xfId="61" applyNumberFormat="1" applyFont="1" applyFill="1" applyBorder="1" applyAlignment="1">
      <alignment horizontal="center" vertical="center" wrapText="1"/>
      <protection/>
    </xf>
    <xf numFmtId="179" fontId="18" fillId="33" borderId="41" xfId="61" applyNumberFormat="1" applyFont="1" applyFill="1" applyBorder="1" applyAlignment="1">
      <alignment horizontal="center" vertical="center" wrapText="1"/>
      <protection/>
    </xf>
    <xf numFmtId="0" fontId="15" fillId="0" borderId="38" xfId="61" applyFont="1" applyBorder="1" applyAlignment="1">
      <alignment horizontal="center" vertical="center"/>
      <protection/>
    </xf>
    <xf numFmtId="0" fontId="15" fillId="0" borderId="98" xfId="61" applyFont="1" applyBorder="1" applyAlignment="1">
      <alignment horizontal="center" vertical="center"/>
      <protection/>
    </xf>
    <xf numFmtId="0" fontId="15" fillId="3" borderId="38" xfId="61" applyFont="1" applyFill="1" applyBorder="1" applyAlignment="1">
      <alignment horizontal="center" vertical="center"/>
      <protection/>
    </xf>
    <xf numFmtId="0" fontId="15" fillId="3" borderId="34" xfId="61" applyFont="1" applyFill="1" applyBorder="1" applyAlignment="1">
      <alignment horizontal="center" vertical="center"/>
      <protection/>
    </xf>
    <xf numFmtId="0" fontId="15" fillId="3" borderId="35" xfId="61" applyFont="1" applyFill="1" applyBorder="1" applyAlignment="1">
      <alignment horizontal="center" vertical="center"/>
      <protection/>
    </xf>
    <xf numFmtId="0" fontId="15" fillId="35" borderId="39" xfId="61" applyFont="1" applyFill="1" applyBorder="1" applyAlignment="1">
      <alignment horizontal="center" vertical="center"/>
      <protection/>
    </xf>
    <xf numFmtId="0" fontId="15" fillId="3" borderId="33" xfId="61" applyFont="1" applyFill="1" applyBorder="1" applyAlignment="1">
      <alignment horizontal="center" vertical="center"/>
      <protection/>
    </xf>
    <xf numFmtId="0" fontId="15" fillId="3" borderId="86" xfId="61" applyFont="1" applyFill="1" applyBorder="1" applyAlignment="1">
      <alignment horizontal="center" vertical="center"/>
      <protection/>
    </xf>
    <xf numFmtId="0" fontId="15" fillId="35" borderId="58" xfId="61" applyFont="1" applyFill="1" applyBorder="1" applyAlignment="1">
      <alignment horizontal="center" vertical="center"/>
      <protection/>
    </xf>
    <xf numFmtId="0" fontId="4" fillId="38" borderId="0" xfId="0" applyFont="1" applyFill="1" applyAlignment="1">
      <alignment vertical="center"/>
    </xf>
    <xf numFmtId="0" fontId="16" fillId="38" borderId="0" xfId="0" applyFont="1" applyFill="1" applyAlignment="1">
      <alignment/>
    </xf>
    <xf numFmtId="0" fontId="17" fillId="38" borderId="27" xfId="0" applyFont="1" applyFill="1" applyBorder="1" applyAlignment="1">
      <alignment/>
    </xf>
    <xf numFmtId="0" fontId="7" fillId="38" borderId="13" xfId="0" applyFont="1" applyFill="1" applyBorder="1" applyAlignment="1">
      <alignment horizontal="center" vertical="center" shrinkToFit="1"/>
    </xf>
    <xf numFmtId="0" fontId="17" fillId="38" borderId="13" xfId="0" applyFont="1" applyFill="1" applyBorder="1" applyAlignment="1">
      <alignment horizontal="center" vertical="center" shrinkToFit="1"/>
    </xf>
    <xf numFmtId="0" fontId="7" fillId="38" borderId="14" xfId="0" applyFont="1" applyFill="1" applyBorder="1" applyAlignment="1">
      <alignment horizontal="center" vertical="center" shrinkToFit="1"/>
    </xf>
    <xf numFmtId="0" fontId="7" fillId="38" borderId="20" xfId="0" applyFont="1" applyFill="1" applyBorder="1" applyAlignment="1">
      <alignment horizontal="center" vertical="center" shrinkToFit="1"/>
    </xf>
    <xf numFmtId="0" fontId="7" fillId="38" borderId="13" xfId="0" applyFont="1" applyFill="1" applyBorder="1" applyAlignment="1">
      <alignment horizontal="center" vertical="center" shrinkToFit="1"/>
    </xf>
    <xf numFmtId="0" fontId="7" fillId="38" borderId="15" xfId="0" applyFont="1" applyFill="1" applyBorder="1" applyAlignment="1">
      <alignment horizontal="center" vertical="center" shrinkToFit="1"/>
    </xf>
    <xf numFmtId="178" fontId="16" fillId="38" borderId="98" xfId="0" applyNumberFormat="1" applyFont="1" applyFill="1" applyBorder="1" applyAlignment="1">
      <alignment horizontal="center" vertical="center" shrinkToFit="1"/>
    </xf>
    <xf numFmtId="56" fontId="18" fillId="38" borderId="39" xfId="0" applyNumberFormat="1" applyFont="1" applyFill="1" applyBorder="1" applyAlignment="1">
      <alignment horizontal="center" vertical="center" shrinkToFit="1"/>
    </xf>
    <xf numFmtId="0" fontId="17" fillId="38" borderId="39" xfId="0" applyFont="1" applyFill="1" applyBorder="1" applyAlignment="1">
      <alignment horizontal="center" vertical="center" shrinkToFit="1"/>
    </xf>
    <xf numFmtId="0" fontId="16" fillId="38" borderId="41" xfId="0" applyFont="1" applyFill="1" applyBorder="1" applyAlignment="1">
      <alignment horizontal="center" vertical="center"/>
    </xf>
    <xf numFmtId="20" fontId="16" fillId="38" borderId="38" xfId="0" applyNumberFormat="1" applyFont="1" applyFill="1" applyBorder="1" applyAlignment="1">
      <alignment horizontal="center" vertical="center"/>
    </xf>
    <xf numFmtId="0" fontId="14" fillId="38" borderId="39" xfId="0" applyFont="1" applyFill="1" applyBorder="1" applyAlignment="1">
      <alignment horizontal="center" vertical="top"/>
    </xf>
    <xf numFmtId="0" fontId="16" fillId="38" borderId="41" xfId="0" applyFont="1" applyFill="1" applyBorder="1" applyAlignment="1">
      <alignment horizontal="center" vertical="center" shrinkToFit="1"/>
    </xf>
    <xf numFmtId="0" fontId="16" fillId="38" borderId="38" xfId="0" applyFont="1" applyFill="1" applyBorder="1" applyAlignment="1">
      <alignment horizontal="center" vertical="center"/>
    </xf>
    <xf numFmtId="0" fontId="16" fillId="38" borderId="39" xfId="0" applyFont="1" applyFill="1" applyBorder="1" applyAlignment="1" applyProtection="1">
      <alignment horizontal="center"/>
      <protection locked="0"/>
    </xf>
    <xf numFmtId="0" fontId="14" fillId="38" borderId="38" xfId="0" applyFont="1" applyFill="1" applyBorder="1" applyAlignment="1">
      <alignment horizontal="center" vertical="center"/>
    </xf>
    <xf numFmtId="0" fontId="12" fillId="38" borderId="38" xfId="0" applyFont="1" applyFill="1" applyBorder="1" applyAlignment="1">
      <alignment horizontal="center" vertical="center"/>
    </xf>
    <xf numFmtId="0" fontId="12" fillId="38" borderId="43" xfId="0" applyFont="1" applyFill="1" applyBorder="1" applyAlignment="1">
      <alignment horizontal="center" vertical="center"/>
    </xf>
    <xf numFmtId="178" fontId="16" fillId="38" borderId="74" xfId="0" applyNumberFormat="1" applyFont="1" applyFill="1" applyBorder="1" applyAlignment="1">
      <alignment horizontal="center" vertical="center" shrinkToFit="1"/>
    </xf>
    <xf numFmtId="0" fontId="18" fillId="38" borderId="36" xfId="0" applyFont="1" applyFill="1" applyBorder="1" applyAlignment="1">
      <alignment horizontal="center" vertical="center" shrinkToFit="1"/>
    </xf>
    <xf numFmtId="0" fontId="17" fillId="38" borderId="36" xfId="0" applyFont="1" applyFill="1" applyBorder="1" applyAlignment="1">
      <alignment horizontal="center" vertical="center" shrinkToFit="1"/>
    </xf>
    <xf numFmtId="0" fontId="16" fillId="38" borderId="23" xfId="0" applyFont="1" applyFill="1" applyBorder="1" applyAlignment="1">
      <alignment horizontal="center" vertical="center"/>
    </xf>
    <xf numFmtId="0" fontId="16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top"/>
    </xf>
    <xf numFmtId="0" fontId="16" fillId="38" borderId="23" xfId="0" applyFont="1" applyFill="1" applyBorder="1" applyAlignment="1">
      <alignment horizontal="center" vertical="center" shrinkToFit="1"/>
    </xf>
    <xf numFmtId="0" fontId="16" fillId="38" borderId="36" xfId="0" applyFont="1" applyFill="1" applyBorder="1" applyAlignment="1" applyProtection="1">
      <alignment horizontal="center"/>
      <protection locked="0"/>
    </xf>
    <xf numFmtId="0" fontId="14" fillId="38" borderId="35" xfId="0" applyFont="1" applyFill="1" applyBorder="1" applyAlignment="1">
      <alignment horizontal="center" vertical="center"/>
    </xf>
    <xf numFmtId="0" fontId="12" fillId="38" borderId="35" xfId="0" applyFont="1" applyFill="1" applyBorder="1" applyAlignment="1">
      <alignment horizontal="center" vertical="center"/>
    </xf>
    <xf numFmtId="0" fontId="12" fillId="38" borderId="88" xfId="0" applyFont="1" applyFill="1" applyBorder="1" applyAlignment="1">
      <alignment horizontal="center" vertical="center"/>
    </xf>
    <xf numFmtId="0" fontId="16" fillId="38" borderId="46" xfId="0" applyFont="1" applyFill="1" applyBorder="1" applyAlignment="1">
      <alignment horizontal="center" vertical="center"/>
    </xf>
    <xf numFmtId="20" fontId="16" fillId="38" borderId="33" xfId="0" applyNumberFormat="1" applyFont="1" applyFill="1" applyBorder="1" applyAlignment="1">
      <alignment horizontal="center" vertical="center"/>
    </xf>
    <xf numFmtId="0" fontId="14" fillId="38" borderId="36" xfId="0" applyFont="1" applyFill="1" applyBorder="1" applyAlignment="1">
      <alignment horizontal="center" vertical="top"/>
    </xf>
    <xf numFmtId="0" fontId="16" fillId="38" borderId="46" xfId="0" applyFont="1" applyFill="1" applyBorder="1" applyAlignment="1">
      <alignment horizontal="center" vertical="center" shrinkToFit="1"/>
    </xf>
    <xf numFmtId="0" fontId="16" fillId="38" borderId="33" xfId="0" applyFont="1" applyFill="1" applyBorder="1" applyAlignment="1">
      <alignment horizontal="center" vertical="center"/>
    </xf>
    <xf numFmtId="0" fontId="14" fillId="38" borderId="33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6" fillId="38" borderId="36" xfId="0" applyFont="1" applyFill="1" applyBorder="1" applyAlignment="1">
      <alignment horizontal="center" vertical="center" wrapText="1" shrinkToFit="1"/>
    </xf>
    <xf numFmtId="0" fontId="16" fillId="38" borderId="36" xfId="0" applyFont="1" applyFill="1" applyBorder="1" applyAlignment="1">
      <alignment horizontal="center" vertical="center" shrinkToFit="1"/>
    </xf>
    <xf numFmtId="0" fontId="16" fillId="38" borderId="48" xfId="0" applyFont="1" applyFill="1" applyBorder="1" applyAlignment="1">
      <alignment horizontal="center" vertical="center" shrinkToFit="1"/>
    </xf>
    <xf numFmtId="178" fontId="16" fillId="38" borderId="85" xfId="0" applyNumberFormat="1" applyFont="1" applyFill="1" applyBorder="1" applyAlignment="1">
      <alignment horizontal="center" vertical="center" shrinkToFit="1"/>
    </xf>
    <xf numFmtId="0" fontId="18" fillId="38" borderId="40" xfId="0" applyFont="1" applyFill="1" applyBorder="1" applyAlignment="1">
      <alignment horizontal="center" vertical="center" shrinkToFit="1"/>
    </xf>
    <xf numFmtId="0" fontId="16" fillId="38" borderId="40" xfId="0" applyFont="1" applyFill="1" applyBorder="1" applyAlignment="1">
      <alignment horizontal="center" vertical="center" shrinkToFit="1"/>
    </xf>
    <xf numFmtId="0" fontId="16" fillId="38" borderId="30" xfId="0" applyFont="1" applyFill="1" applyBorder="1" applyAlignment="1">
      <alignment horizontal="center" vertical="center"/>
    </xf>
    <xf numFmtId="0" fontId="16" fillId="38" borderId="86" xfId="0" applyFont="1" applyFill="1" applyBorder="1" applyAlignment="1">
      <alignment horizontal="center" vertical="center"/>
    </xf>
    <xf numFmtId="0" fontId="10" fillId="38" borderId="40" xfId="0" applyFont="1" applyFill="1" applyBorder="1" applyAlignment="1">
      <alignment horizontal="center" vertical="top"/>
    </xf>
    <xf numFmtId="0" fontId="16" fillId="38" borderId="30" xfId="0" applyFont="1" applyFill="1" applyBorder="1" applyAlignment="1">
      <alignment horizontal="center" vertical="center" shrinkToFit="1"/>
    </xf>
    <xf numFmtId="0" fontId="16" fillId="38" borderId="40" xfId="0" applyFont="1" applyFill="1" applyBorder="1" applyAlignment="1" applyProtection="1">
      <alignment horizontal="center"/>
      <protection locked="0"/>
    </xf>
    <xf numFmtId="0" fontId="14" fillId="38" borderId="86" xfId="0" applyFont="1" applyFill="1" applyBorder="1" applyAlignment="1">
      <alignment horizontal="center" vertical="center"/>
    </xf>
    <xf numFmtId="0" fontId="12" fillId="38" borderId="86" xfId="0" applyFont="1" applyFill="1" applyBorder="1" applyAlignment="1">
      <alignment horizontal="center" vertical="center"/>
    </xf>
    <xf numFmtId="0" fontId="12" fillId="38" borderId="97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56" fontId="16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2" fillId="0" borderId="88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86" xfId="0" applyFont="1" applyFill="1" applyBorder="1" applyAlignment="1">
      <alignment horizontal="center" vertical="center" shrinkToFit="1"/>
    </xf>
    <xf numFmtId="0" fontId="12" fillId="0" borderId="97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wrapText="1" shrinkToFit="1"/>
    </xf>
    <xf numFmtId="0" fontId="16" fillId="0" borderId="86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wrapText="1" shrinkToFit="1"/>
    </xf>
    <xf numFmtId="0" fontId="18" fillId="0" borderId="86" xfId="0" applyFont="1" applyFill="1" applyBorder="1" applyAlignment="1">
      <alignment horizontal="center" vertical="center" wrapText="1" shrinkToFit="1"/>
    </xf>
    <xf numFmtId="56" fontId="16" fillId="38" borderId="38" xfId="0" applyNumberFormat="1" applyFont="1" applyFill="1" applyBorder="1" applyAlignment="1">
      <alignment horizontal="center" vertical="center" shrinkToFit="1"/>
    </xf>
    <xf numFmtId="0" fontId="4" fillId="38" borderId="39" xfId="0" applyFont="1" applyFill="1" applyBorder="1" applyAlignment="1">
      <alignment horizontal="center" vertical="center" shrinkToFit="1"/>
    </xf>
    <xf numFmtId="0" fontId="12" fillId="38" borderId="43" xfId="0" applyFont="1" applyFill="1" applyBorder="1" applyAlignment="1">
      <alignment horizontal="center" vertical="center" shrinkToFit="1"/>
    </xf>
    <xf numFmtId="0" fontId="16" fillId="38" borderId="34" xfId="0" applyFont="1" applyFill="1" applyBorder="1" applyAlignment="1">
      <alignment horizontal="center" vertical="center" shrinkToFit="1"/>
    </xf>
    <xf numFmtId="0" fontId="4" fillId="38" borderId="36" xfId="0" applyFont="1" applyFill="1" applyBorder="1" applyAlignment="1">
      <alignment horizontal="center" vertical="center" shrinkToFit="1"/>
    </xf>
    <xf numFmtId="0" fontId="12" fillId="38" borderId="88" xfId="0" applyFont="1" applyFill="1" applyBorder="1" applyAlignment="1">
      <alignment horizontal="center" vertical="center" shrinkToFit="1"/>
    </xf>
    <xf numFmtId="0" fontId="16" fillId="38" borderId="33" xfId="0" applyFont="1" applyFill="1" applyBorder="1" applyAlignment="1">
      <alignment horizontal="center" vertical="center" wrapText="1" shrinkToFit="1"/>
    </xf>
    <xf numFmtId="0" fontId="16" fillId="38" borderId="34" xfId="0" applyFont="1" applyFill="1" applyBorder="1" applyAlignment="1">
      <alignment horizontal="center" vertical="center" wrapText="1" shrinkToFit="1"/>
    </xf>
    <xf numFmtId="0" fontId="16" fillId="38" borderId="86" xfId="0" applyFont="1" applyFill="1" applyBorder="1" applyAlignment="1">
      <alignment horizontal="center" vertical="center" shrinkToFit="1"/>
    </xf>
    <xf numFmtId="0" fontId="16" fillId="38" borderId="86" xfId="0" applyFont="1" applyFill="1" applyBorder="1" applyAlignment="1">
      <alignment horizontal="center" vertical="center" wrapText="1" shrinkToFit="1"/>
    </xf>
    <xf numFmtId="0" fontId="12" fillId="38" borderId="97" xfId="0" applyFont="1" applyFill="1" applyBorder="1" applyAlignment="1">
      <alignment horizontal="center" vertical="center" shrinkToFit="1"/>
    </xf>
    <xf numFmtId="56" fontId="64" fillId="38" borderId="38" xfId="0" applyNumberFormat="1" applyFont="1" applyFill="1" applyBorder="1" applyAlignment="1">
      <alignment horizontal="center" vertical="center" shrinkToFit="1"/>
    </xf>
    <xf numFmtId="0" fontId="64" fillId="38" borderId="34" xfId="0" applyFont="1" applyFill="1" applyBorder="1" applyAlignment="1">
      <alignment horizontal="center" vertical="center" shrinkToFit="1"/>
    </xf>
    <xf numFmtId="0" fontId="18" fillId="38" borderId="33" xfId="0" applyFont="1" applyFill="1" applyBorder="1" applyAlignment="1">
      <alignment horizontal="center" vertical="center" wrapText="1" shrinkToFit="1"/>
    </xf>
    <xf numFmtId="0" fontId="18" fillId="38" borderId="34" xfId="0" applyFont="1" applyFill="1" applyBorder="1" applyAlignment="1">
      <alignment horizontal="center" vertical="center" shrinkToFit="1"/>
    </xf>
    <xf numFmtId="0" fontId="64" fillId="38" borderId="86" xfId="0" applyFont="1" applyFill="1" applyBorder="1" applyAlignment="1">
      <alignment horizontal="center" vertical="center" shrinkToFit="1"/>
    </xf>
    <xf numFmtId="0" fontId="18" fillId="38" borderId="86" xfId="0" applyFont="1" applyFill="1" applyBorder="1" applyAlignment="1">
      <alignment horizontal="center" vertical="center" shrinkToFit="1"/>
    </xf>
    <xf numFmtId="0" fontId="18" fillId="38" borderId="34" xfId="0" applyFont="1" applyFill="1" applyBorder="1" applyAlignment="1">
      <alignment horizontal="center" vertical="center" wrapText="1" shrinkToFit="1"/>
    </xf>
    <xf numFmtId="0" fontId="18" fillId="38" borderId="86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/>
    </xf>
    <xf numFmtId="0" fontId="4" fillId="38" borderId="13" xfId="0" applyFont="1" applyFill="1" applyBorder="1" applyAlignment="1">
      <alignment horizontal="center" vertical="center" shrinkToFit="1"/>
    </xf>
    <xf numFmtId="0" fontId="18" fillId="38" borderId="34" xfId="0" applyFont="1" applyFill="1" applyBorder="1" applyAlignment="1">
      <alignment horizontal="center" vertical="center" wrapText="1"/>
    </xf>
    <xf numFmtId="0" fontId="18" fillId="38" borderId="86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18" fillId="38" borderId="36" xfId="0" applyFont="1" applyFill="1" applyBorder="1" applyAlignment="1">
      <alignment horizontal="center" vertical="center" wrapText="1"/>
    </xf>
    <xf numFmtId="0" fontId="18" fillId="38" borderId="4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0" fontId="7" fillId="0" borderId="37" xfId="61" applyFont="1" applyBorder="1" applyAlignment="1">
      <alignment horizontal="center" vertical="center"/>
      <protection/>
    </xf>
    <xf numFmtId="0" fontId="7" fillId="33" borderId="100" xfId="61" applyFont="1" applyFill="1" applyBorder="1" applyAlignment="1">
      <alignment horizontal="center" vertical="center"/>
      <protection/>
    </xf>
    <xf numFmtId="0" fontId="7" fillId="33" borderId="99" xfId="61" applyFont="1" applyFill="1" applyBorder="1" applyAlignment="1">
      <alignment horizontal="center" vertical="center"/>
      <protection/>
    </xf>
    <xf numFmtId="0" fontId="7" fillId="33" borderId="41" xfId="61" applyFont="1" applyFill="1" applyBorder="1" applyAlignment="1">
      <alignment horizontal="center" vertical="center"/>
      <protection/>
    </xf>
    <xf numFmtId="0" fontId="7" fillId="33" borderId="42" xfId="61" applyFont="1" applyFill="1" applyBorder="1" applyAlignment="1">
      <alignment horizontal="center" vertical="center"/>
      <protection/>
    </xf>
    <xf numFmtId="0" fontId="12" fillId="32" borderId="98" xfId="61" applyFill="1" applyBorder="1" applyAlignment="1">
      <alignment horizontal="center" vertical="center"/>
      <protection/>
    </xf>
    <xf numFmtId="0" fontId="12" fillId="32" borderId="38" xfId="61" applyFill="1" applyBorder="1" applyAlignment="1">
      <alignment horizontal="center" vertical="center"/>
      <protection/>
    </xf>
    <xf numFmtId="0" fontId="7" fillId="39" borderId="38" xfId="61" applyFont="1" applyFill="1" applyBorder="1" applyAlignment="1">
      <alignment horizontal="center" vertical="center" shrinkToFit="1"/>
      <protection/>
    </xf>
    <xf numFmtId="0" fontId="12" fillId="35" borderId="42" xfId="61" applyFill="1" applyBorder="1" applyAlignment="1">
      <alignment horizontal="center" vertical="center" shrinkToFit="1"/>
      <protection/>
    </xf>
    <xf numFmtId="0" fontId="12" fillId="35" borderId="38" xfId="61" applyFill="1" applyBorder="1" applyAlignment="1">
      <alignment horizontal="center" vertical="center" shrinkToFit="1"/>
      <protection/>
    </xf>
    <xf numFmtId="0" fontId="12" fillId="35" borderId="43" xfId="61" applyFill="1" applyBorder="1" applyAlignment="1">
      <alignment horizontal="center" vertical="center" shrinkToFit="1"/>
      <protection/>
    </xf>
    <xf numFmtId="0" fontId="12" fillId="32" borderId="101" xfId="61" applyFont="1" applyFill="1" applyBorder="1" applyAlignment="1">
      <alignment horizontal="center" vertical="center"/>
      <protection/>
    </xf>
    <xf numFmtId="0" fontId="15" fillId="0" borderId="36" xfId="61" applyFont="1" applyBorder="1" applyAlignment="1">
      <alignment horizontal="center" vertical="center"/>
      <protection/>
    </xf>
    <xf numFmtId="0" fontId="15" fillId="39" borderId="36" xfId="61" applyFont="1" applyFill="1" applyBorder="1" applyAlignment="1">
      <alignment horizontal="center" vertical="center"/>
      <protection/>
    </xf>
    <xf numFmtId="0" fontId="15" fillId="0" borderId="39" xfId="61" applyFont="1" applyBorder="1" applyAlignment="1">
      <alignment horizontal="center" vertical="center"/>
      <protection/>
    </xf>
    <xf numFmtId="0" fontId="15" fillId="39" borderId="39" xfId="61" applyFont="1" applyFill="1" applyBorder="1" applyAlignment="1">
      <alignment horizontal="center" vertical="center"/>
      <protection/>
    </xf>
    <xf numFmtId="0" fontId="15" fillId="0" borderId="58" xfId="61" applyFont="1" applyBorder="1" applyAlignment="1">
      <alignment horizontal="center" vertical="center"/>
      <protection/>
    </xf>
    <xf numFmtId="0" fontId="15" fillId="0" borderId="49" xfId="61" applyFont="1" applyBorder="1" applyAlignment="1">
      <alignment horizontal="center" vertical="center"/>
      <protection/>
    </xf>
    <xf numFmtId="0" fontId="15" fillId="0" borderId="40" xfId="61" applyFont="1" applyBorder="1" applyAlignment="1">
      <alignment horizontal="center" vertical="center"/>
      <protection/>
    </xf>
    <xf numFmtId="0" fontId="15" fillId="39" borderId="40" xfId="61" applyFont="1" applyFill="1" applyBorder="1" applyAlignment="1">
      <alignment horizontal="center" vertical="center"/>
      <protection/>
    </xf>
    <xf numFmtId="0" fontId="15" fillId="0" borderId="50" xfId="61" applyFont="1" applyBorder="1" applyAlignment="1">
      <alignment horizontal="center" vertical="center"/>
      <protection/>
    </xf>
    <xf numFmtId="0" fontId="15" fillId="0" borderId="102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103" xfId="61" applyFont="1" applyBorder="1" applyAlignment="1">
      <alignment horizontal="center" vertical="center"/>
      <protection/>
    </xf>
    <xf numFmtId="0" fontId="18" fillId="40" borderId="92" xfId="61" applyFont="1" applyFill="1" applyBorder="1" applyAlignment="1">
      <alignment horizontal="center" vertical="center"/>
      <protection/>
    </xf>
    <xf numFmtId="179" fontId="18" fillId="40" borderId="42" xfId="61" applyNumberFormat="1" applyFont="1" applyFill="1" applyBorder="1" applyAlignment="1">
      <alignment horizontal="center" vertical="center" wrapText="1"/>
      <protection/>
    </xf>
    <xf numFmtId="179" fontId="18" fillId="40" borderId="99" xfId="61" applyNumberFormat="1" applyFont="1" applyFill="1" applyBorder="1" applyAlignment="1">
      <alignment horizontal="center" vertical="center" wrapText="1"/>
      <protection/>
    </xf>
    <xf numFmtId="179" fontId="18" fillId="40" borderId="41" xfId="61" applyNumberFormat="1" applyFont="1" applyFill="1" applyBorder="1" applyAlignment="1">
      <alignment horizontal="center" vertical="center" wrapText="1"/>
      <protection/>
    </xf>
    <xf numFmtId="179" fontId="18" fillId="40" borderId="101" xfId="61" applyNumberFormat="1" applyFont="1" applyFill="1" applyBorder="1" applyAlignment="1">
      <alignment horizontal="center" vertical="center" wrapText="1"/>
      <protection/>
    </xf>
    <xf numFmtId="0" fontId="18" fillId="40" borderId="68" xfId="61" applyFont="1" applyFill="1" applyBorder="1" applyAlignment="1">
      <alignment horizontal="center" vertical="center"/>
      <protection/>
    </xf>
    <xf numFmtId="0" fontId="18" fillId="40" borderId="104" xfId="61" applyFont="1" applyFill="1" applyBorder="1" applyAlignment="1">
      <alignment horizontal="center" vertical="center" wrapText="1"/>
      <protection/>
    </xf>
    <xf numFmtId="0" fontId="18" fillId="40" borderId="105" xfId="61" applyFont="1" applyFill="1" applyBorder="1" applyAlignment="1">
      <alignment horizontal="center" vertical="center" wrapText="1"/>
      <protection/>
    </xf>
    <xf numFmtId="0" fontId="18" fillId="40" borderId="106" xfId="61" applyFont="1" applyFill="1" applyBorder="1" applyAlignment="1">
      <alignment horizontal="center" vertical="center" wrapText="1"/>
      <protection/>
    </xf>
    <xf numFmtId="0" fontId="18" fillId="40" borderId="107" xfId="61" applyFont="1" applyFill="1" applyBorder="1" applyAlignment="1">
      <alignment horizontal="center" vertical="center" wrapText="1"/>
      <protection/>
    </xf>
    <xf numFmtId="179" fontId="18" fillId="40" borderId="108" xfId="61" applyNumberFormat="1" applyFont="1" applyFill="1" applyBorder="1" applyAlignment="1">
      <alignment horizontal="center" vertical="center"/>
      <protection/>
    </xf>
    <xf numFmtId="179" fontId="18" fillId="40" borderId="109" xfId="61" applyNumberFormat="1" applyFont="1" applyFill="1" applyBorder="1" applyAlignment="1">
      <alignment horizontal="center" vertical="center"/>
      <protection/>
    </xf>
    <xf numFmtId="179" fontId="18" fillId="40" borderId="110" xfId="61" applyNumberFormat="1" applyFont="1" applyFill="1" applyBorder="1" applyAlignment="1">
      <alignment horizontal="center" vertical="center"/>
      <protection/>
    </xf>
    <xf numFmtId="179" fontId="18" fillId="40" borderId="108" xfId="61" applyNumberFormat="1" applyFont="1" applyFill="1" applyBorder="1" applyAlignment="1">
      <alignment horizontal="center" vertical="center" wrapText="1"/>
      <protection/>
    </xf>
    <xf numFmtId="179" fontId="18" fillId="40" borderId="109" xfId="61" applyNumberFormat="1" applyFont="1" applyFill="1" applyBorder="1" applyAlignment="1">
      <alignment horizontal="center" vertical="center" wrapText="1"/>
      <protection/>
    </xf>
    <xf numFmtId="179" fontId="18" fillId="40" borderId="110" xfId="61" applyNumberFormat="1" applyFont="1" applyFill="1" applyBorder="1" applyAlignment="1">
      <alignment horizontal="center" vertical="center" wrapText="1"/>
      <protection/>
    </xf>
    <xf numFmtId="179" fontId="18" fillId="40" borderId="111" xfId="61" applyNumberFormat="1" applyFont="1" applyFill="1" applyBorder="1" applyAlignment="1">
      <alignment horizontal="center" vertical="center" wrapText="1"/>
      <protection/>
    </xf>
    <xf numFmtId="0" fontId="18" fillId="40" borderId="71" xfId="61" applyFont="1" applyFill="1" applyBorder="1" applyAlignment="1">
      <alignment horizontal="center" vertical="center"/>
      <protection/>
    </xf>
    <xf numFmtId="0" fontId="18" fillId="40" borderId="21" xfId="61" applyFont="1" applyFill="1" applyBorder="1" applyAlignment="1">
      <alignment horizontal="center" vertical="center"/>
      <protection/>
    </xf>
    <xf numFmtId="0" fontId="18" fillId="40" borderId="22" xfId="61" applyFont="1" applyFill="1" applyBorder="1" applyAlignment="1">
      <alignment horizontal="center" vertical="center"/>
      <protection/>
    </xf>
    <xf numFmtId="0" fontId="18" fillId="40" borderId="23" xfId="61" applyFont="1" applyFill="1" applyBorder="1" applyAlignment="1">
      <alignment horizontal="center" vertical="center"/>
      <protection/>
    </xf>
    <xf numFmtId="0" fontId="18" fillId="40" borderId="21" xfId="61" applyFont="1" applyFill="1" applyBorder="1" applyAlignment="1">
      <alignment horizontal="center" vertical="center" wrapText="1"/>
      <protection/>
    </xf>
    <xf numFmtId="0" fontId="18" fillId="40" borderId="22" xfId="61" applyFont="1" applyFill="1" applyBorder="1" applyAlignment="1">
      <alignment horizontal="center" vertical="center" wrapText="1"/>
      <protection/>
    </xf>
    <xf numFmtId="0" fontId="18" fillId="40" borderId="23" xfId="61" applyFont="1" applyFill="1" applyBorder="1" applyAlignment="1">
      <alignment horizontal="center" vertical="center" wrapText="1"/>
      <protection/>
    </xf>
    <xf numFmtId="0" fontId="18" fillId="40" borderId="112" xfId="61" applyFont="1" applyFill="1" applyBorder="1" applyAlignment="1">
      <alignment horizontal="center" vertical="center" wrapText="1"/>
      <protection/>
    </xf>
    <xf numFmtId="179" fontId="18" fillId="40" borderId="113" xfId="61" applyNumberFormat="1" applyFont="1" applyFill="1" applyBorder="1" applyAlignment="1">
      <alignment horizontal="center" vertical="center" wrapText="1"/>
      <protection/>
    </xf>
    <xf numFmtId="179" fontId="18" fillId="40" borderId="45" xfId="61" applyNumberFormat="1" applyFont="1" applyFill="1" applyBorder="1" applyAlignment="1">
      <alignment horizontal="center" vertical="center" wrapText="1"/>
      <protection/>
    </xf>
    <xf numFmtId="179" fontId="18" fillId="40" borderId="46" xfId="61" applyNumberFormat="1" applyFont="1" applyFill="1" applyBorder="1" applyAlignment="1">
      <alignment horizontal="center" vertical="center" wrapText="1"/>
      <protection/>
    </xf>
    <xf numFmtId="0" fontId="18" fillId="40" borderId="64" xfId="61" applyFont="1" applyFill="1" applyBorder="1" applyAlignment="1">
      <alignment horizontal="center" vertical="center"/>
      <protection/>
    </xf>
    <xf numFmtId="0" fontId="18" fillId="40" borderId="65" xfId="61" applyFont="1" applyFill="1" applyBorder="1" applyAlignment="1">
      <alignment horizontal="center" vertical="center"/>
      <protection/>
    </xf>
    <xf numFmtId="0" fontId="18" fillId="40" borderId="66" xfId="61" applyFont="1" applyFill="1" applyBorder="1" applyAlignment="1">
      <alignment horizontal="center" vertical="center"/>
      <protection/>
    </xf>
    <xf numFmtId="179" fontId="18" fillId="40" borderId="44" xfId="61" applyNumberFormat="1" applyFont="1" applyFill="1" applyBorder="1" applyAlignment="1">
      <alignment horizontal="center" vertical="center" wrapText="1"/>
      <protection/>
    </xf>
    <xf numFmtId="179" fontId="18" fillId="40" borderId="114" xfId="61" applyNumberFormat="1" applyFont="1" applyFill="1" applyBorder="1" applyAlignment="1">
      <alignment horizontal="center" vertical="center" wrapText="1"/>
      <protection/>
    </xf>
    <xf numFmtId="0" fontId="18" fillId="40" borderId="67" xfId="61" applyFont="1" applyFill="1" applyBorder="1" applyAlignment="1">
      <alignment horizontal="center" vertical="center"/>
      <protection/>
    </xf>
    <xf numFmtId="0" fontId="18" fillId="40" borderId="69" xfId="61" applyFont="1" applyFill="1" applyBorder="1" applyAlignment="1">
      <alignment horizontal="center" vertical="center"/>
      <protection/>
    </xf>
    <xf numFmtId="0" fontId="18" fillId="40" borderId="70" xfId="61" applyFont="1" applyFill="1" applyBorder="1" applyAlignment="1">
      <alignment horizontal="center" vertical="center"/>
      <protection/>
    </xf>
    <xf numFmtId="0" fontId="18" fillId="40" borderId="72" xfId="61" applyFont="1" applyFill="1" applyBorder="1" applyAlignment="1">
      <alignment horizontal="center" vertical="center"/>
      <protection/>
    </xf>
    <xf numFmtId="179" fontId="18" fillId="40" borderId="111" xfId="61" applyNumberFormat="1" applyFont="1" applyFill="1" applyBorder="1" applyAlignment="1">
      <alignment horizontal="center" vertical="center"/>
      <protection/>
    </xf>
    <xf numFmtId="0" fontId="18" fillId="40" borderId="112" xfId="61" applyFont="1" applyFill="1" applyBorder="1" applyAlignment="1">
      <alignment horizontal="center" vertical="center"/>
      <protection/>
    </xf>
    <xf numFmtId="0" fontId="18" fillId="40" borderId="80" xfId="61" applyFont="1" applyFill="1" applyBorder="1" applyAlignment="1">
      <alignment horizontal="center" vertical="center"/>
      <protection/>
    </xf>
    <xf numFmtId="0" fontId="18" fillId="40" borderId="81" xfId="61" applyFont="1" applyFill="1" applyBorder="1" applyAlignment="1">
      <alignment horizontal="center" vertical="center"/>
      <protection/>
    </xf>
    <xf numFmtId="0" fontId="18" fillId="40" borderId="29" xfId="61" applyFont="1" applyFill="1" applyBorder="1" applyAlignment="1">
      <alignment horizontal="center" vertical="center"/>
      <protection/>
    </xf>
    <xf numFmtId="0" fontId="18" fillId="40" borderId="30" xfId="61" applyFont="1" applyFill="1" applyBorder="1" applyAlignment="1">
      <alignment horizontal="center" vertical="center"/>
      <protection/>
    </xf>
    <xf numFmtId="0" fontId="18" fillId="40" borderId="28" xfId="61" applyFont="1" applyFill="1" applyBorder="1" applyAlignment="1">
      <alignment horizontal="center" vertical="center"/>
      <protection/>
    </xf>
    <xf numFmtId="0" fontId="18" fillId="40" borderId="82" xfId="61" applyFont="1" applyFill="1" applyBorder="1" applyAlignment="1">
      <alignment horizontal="center" vertical="center"/>
      <protection/>
    </xf>
    <xf numFmtId="0" fontId="18" fillId="40" borderId="83" xfId="61" applyFont="1" applyFill="1" applyBorder="1" applyAlignment="1">
      <alignment horizontal="center" vertical="center"/>
      <protection/>
    </xf>
    <xf numFmtId="0" fontId="18" fillId="40" borderId="84" xfId="61" applyFont="1" applyFill="1" applyBorder="1" applyAlignment="1">
      <alignment horizontal="center" vertical="center"/>
      <protection/>
    </xf>
    <xf numFmtId="0" fontId="16" fillId="41" borderId="46" xfId="0" applyFont="1" applyFill="1" applyBorder="1" applyAlignment="1">
      <alignment horizontal="center" vertical="center"/>
    </xf>
    <xf numFmtId="20" fontId="12" fillId="41" borderId="33" xfId="0" applyNumberFormat="1" applyFont="1" applyFill="1" applyBorder="1" applyAlignment="1">
      <alignment horizontal="center" vertical="center"/>
    </xf>
    <xf numFmtId="0" fontId="14" fillId="41" borderId="36" xfId="0" applyFont="1" applyFill="1" applyBorder="1" applyAlignment="1">
      <alignment horizontal="center" vertical="top"/>
    </xf>
    <xf numFmtId="0" fontId="16" fillId="41" borderId="48" xfId="0" applyFont="1" applyFill="1" applyBorder="1" applyAlignment="1">
      <alignment horizontal="center" vertical="center" shrinkToFit="1"/>
    </xf>
    <xf numFmtId="0" fontId="16" fillId="41" borderId="33" xfId="0" applyFont="1" applyFill="1" applyBorder="1" applyAlignment="1">
      <alignment horizontal="center" vertical="center"/>
    </xf>
    <xf numFmtId="0" fontId="16" fillId="41" borderId="36" xfId="0" applyFont="1" applyFill="1" applyBorder="1" applyAlignment="1" applyProtection="1">
      <alignment horizontal="center"/>
      <protection locked="0"/>
    </xf>
    <xf numFmtId="0" fontId="14" fillId="41" borderId="33" xfId="0" applyFont="1" applyFill="1" applyBorder="1" applyAlignment="1">
      <alignment horizontal="center" vertical="center"/>
    </xf>
    <xf numFmtId="0" fontId="12" fillId="41" borderId="33" xfId="0" applyFont="1" applyFill="1" applyBorder="1" applyAlignment="1">
      <alignment horizontal="center" vertical="center"/>
    </xf>
    <xf numFmtId="0" fontId="16" fillId="41" borderId="30" xfId="0" applyFont="1" applyFill="1" applyBorder="1" applyAlignment="1">
      <alignment horizontal="center" vertical="center"/>
    </xf>
    <xf numFmtId="0" fontId="12" fillId="41" borderId="86" xfId="0" applyFont="1" applyFill="1" applyBorder="1" applyAlignment="1">
      <alignment horizontal="center" vertical="center"/>
    </xf>
    <xf numFmtId="0" fontId="10" fillId="41" borderId="36" xfId="0" applyFont="1" applyFill="1" applyBorder="1" applyAlignment="1">
      <alignment horizontal="center" vertical="top"/>
    </xf>
    <xf numFmtId="0" fontId="16" fillId="41" borderId="30" xfId="0" applyFont="1" applyFill="1" applyBorder="1" applyAlignment="1">
      <alignment horizontal="center" vertical="center" shrinkToFit="1"/>
    </xf>
    <xf numFmtId="0" fontId="16" fillId="41" borderId="86" xfId="0" applyFont="1" applyFill="1" applyBorder="1" applyAlignment="1">
      <alignment horizontal="center" vertical="center"/>
    </xf>
    <xf numFmtId="0" fontId="16" fillId="41" borderId="40" xfId="0" applyFont="1" applyFill="1" applyBorder="1" applyAlignment="1" applyProtection="1">
      <alignment horizontal="center"/>
      <protection locked="0"/>
    </xf>
    <xf numFmtId="0" fontId="14" fillId="41" borderId="8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24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238125</xdr:colOff>
      <xdr:row>0</xdr:row>
      <xdr:rowOff>66675</xdr:rowOff>
    </xdr:from>
    <xdr:to>
      <xdr:col>41</xdr:col>
      <xdr:colOff>9525</xdr:colOff>
      <xdr:row>3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13287375" y="66675"/>
          <a:ext cx="1828800" cy="704850"/>
        </a:xfrm>
        <a:prstGeom prst="wedgeRoundRectCallout">
          <a:avLst>
            <a:gd name="adj1" fmla="val 61504"/>
            <a:gd name="adj2" fmla="val 21689"/>
          </a:avLst>
        </a:prstGeom>
        <a:noFill/>
        <a:ln w="25400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１：略称表示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２：日本語略称表示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すべての表に反映</a:t>
          </a:r>
        </a:p>
      </xdr:txBody>
    </xdr:sp>
    <xdr:clientData fPrintsWithSheet="0"/>
  </xdr:twoCellAnchor>
  <xdr:twoCellAnchor>
    <xdr:from>
      <xdr:col>43</xdr:col>
      <xdr:colOff>428625</xdr:colOff>
      <xdr:row>67</xdr:row>
      <xdr:rowOff>123825</xdr:rowOff>
    </xdr:from>
    <xdr:to>
      <xdr:col>49</xdr:col>
      <xdr:colOff>466725</xdr:colOff>
      <xdr:row>76</xdr:row>
      <xdr:rowOff>28575</xdr:rowOff>
    </xdr:to>
    <xdr:sp>
      <xdr:nvSpPr>
        <xdr:cNvPr id="2" name="円形吹き出し 2"/>
        <xdr:cNvSpPr>
          <a:spLocks/>
        </xdr:cNvSpPr>
      </xdr:nvSpPr>
      <xdr:spPr>
        <a:xfrm>
          <a:off x="16411575" y="17087850"/>
          <a:ext cx="2362200" cy="1619250"/>
        </a:xfrm>
        <a:prstGeom prst="wedgeEllipseCallout">
          <a:avLst>
            <a:gd name="adj1" fmla="val 41717"/>
            <a:gd name="adj2" fmla="val -68851"/>
          </a:avLst>
        </a:prstGeom>
        <a:solidFill>
          <a:srgbClr val="FFFFFF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ここのコードが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表全体に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反映します</a:t>
          </a:r>
        </a:p>
      </xdr:txBody>
    </xdr:sp>
    <xdr:clientData fPrintsWithSheet="0"/>
  </xdr:twoCellAnchor>
  <xdr:twoCellAnchor>
    <xdr:from>
      <xdr:col>1</xdr:col>
      <xdr:colOff>190500</xdr:colOff>
      <xdr:row>0</xdr:row>
      <xdr:rowOff>114300</xdr:rowOff>
    </xdr:from>
    <xdr:to>
      <xdr:col>8</xdr:col>
      <xdr:colOff>295275</xdr:colOff>
      <xdr:row>1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42900" y="114300"/>
          <a:ext cx="3743325" cy="3143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表の下に順位並べ機能を付帯しました</a:t>
          </a:r>
        </a:p>
      </xdr:txBody>
    </xdr:sp>
    <xdr:clientData fPrintsWithSheet="0"/>
  </xdr:twoCellAnchor>
  <xdr:twoCellAnchor>
    <xdr:from>
      <xdr:col>41</xdr:col>
      <xdr:colOff>323850</xdr:colOff>
      <xdr:row>53</xdr:row>
      <xdr:rowOff>0</xdr:rowOff>
    </xdr:from>
    <xdr:to>
      <xdr:col>50</xdr:col>
      <xdr:colOff>0</xdr:colOff>
      <xdr:row>56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430500" y="14144625"/>
          <a:ext cx="35052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下へ表全体の値だけコピーし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順位などで並べ替えると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表全体が並べ替えられます</a:t>
          </a:r>
        </a:p>
      </xdr:txBody>
    </xdr:sp>
    <xdr:clientData/>
  </xdr:twoCellAnchor>
  <xdr:twoCellAnchor>
    <xdr:from>
      <xdr:col>41</xdr:col>
      <xdr:colOff>323850</xdr:colOff>
      <xdr:row>40</xdr:row>
      <xdr:rowOff>0</xdr:rowOff>
    </xdr:from>
    <xdr:to>
      <xdr:col>49</xdr:col>
      <xdr:colOff>619125</xdr:colOff>
      <xdr:row>42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5430500" y="11620500"/>
          <a:ext cx="34956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並べ替え機能です</a:t>
          </a:r>
        </a:p>
      </xdr:txBody>
    </xdr:sp>
    <xdr:clientData/>
  </xdr:twoCellAnchor>
  <xdr:twoCellAnchor>
    <xdr:from>
      <xdr:col>2</xdr:col>
      <xdr:colOff>333375</xdr:colOff>
      <xdr:row>15</xdr:row>
      <xdr:rowOff>28575</xdr:rowOff>
    </xdr:from>
    <xdr:to>
      <xdr:col>6</xdr:col>
      <xdr:colOff>47625</xdr:colOff>
      <xdr:row>15</xdr:row>
      <xdr:rowOff>295275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066925" y="4486275"/>
          <a:ext cx="1085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延　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26</xdr:col>
      <xdr:colOff>19050</xdr:colOff>
      <xdr:row>11</xdr:row>
      <xdr:rowOff>285750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8934450" y="3248025"/>
          <a:ext cx="1047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延　期</a:t>
          </a:r>
        </a:p>
      </xdr:txBody>
    </xdr:sp>
    <xdr:clientData/>
  </xdr:twoCellAnchor>
  <xdr:twoCellAnchor>
    <xdr:from>
      <xdr:col>8</xdr:col>
      <xdr:colOff>0</xdr:colOff>
      <xdr:row>23</xdr:row>
      <xdr:rowOff>9525</xdr:rowOff>
    </xdr:from>
    <xdr:to>
      <xdr:col>11</xdr:col>
      <xdr:colOff>19050</xdr:colOff>
      <xdr:row>23</xdr:row>
      <xdr:rowOff>285750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790950" y="6905625"/>
          <a:ext cx="1047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延　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3"/>
  <sheetViews>
    <sheetView view="pageBreakPreview" zoomScale="70" zoomScaleNormal="75" zoomScaleSheetLayoutView="70" zoomScalePageLayoutView="0" workbookViewId="0" topLeftCell="A1">
      <selection activeCell="M40" sqref="M40"/>
    </sheetView>
  </sheetViews>
  <sheetFormatPr defaultColWidth="8.59765625" defaultRowHeight="15"/>
  <cols>
    <col min="1" max="1" width="2.19921875" style="0" customWidth="1"/>
    <col min="2" max="2" width="4.8984375" style="14" customWidth="1"/>
    <col min="3" max="3" width="50.59765625" style="14" customWidth="1"/>
    <col min="4" max="5" width="12.59765625" style="14" customWidth="1"/>
    <col min="6" max="6" width="11.59765625" style="14" customWidth="1"/>
    <col min="7" max="10" width="2.59765625" style="0" customWidth="1"/>
  </cols>
  <sheetData>
    <row r="2" spans="2:6" ht="24">
      <c r="B2" s="42" t="s">
        <v>177</v>
      </c>
      <c r="C2" s="24"/>
      <c r="D2" s="24"/>
      <c r="E2" s="24"/>
      <c r="F2" s="24"/>
    </row>
    <row r="3" ht="9.75" customHeight="1"/>
    <row r="4" spans="2:6" ht="21" customHeight="1" thickBot="1">
      <c r="B4" s="23" t="s">
        <v>54</v>
      </c>
      <c r="C4" s="37"/>
      <c r="D4" s="37"/>
      <c r="E4" s="37"/>
      <c r="F4" s="37"/>
    </row>
    <row r="5" spans="2:6" ht="24.75" customHeight="1" thickBot="1">
      <c r="B5" s="41"/>
      <c r="C5" s="83" t="s">
        <v>57</v>
      </c>
      <c r="D5" s="75" t="s">
        <v>58</v>
      </c>
      <c r="E5" s="84" t="s">
        <v>117</v>
      </c>
      <c r="F5" s="85" t="s">
        <v>59</v>
      </c>
    </row>
    <row r="6" spans="2:6" ht="15.75" customHeight="1">
      <c r="B6" s="119" t="s">
        <v>19</v>
      </c>
      <c r="C6" s="45" t="s">
        <v>180</v>
      </c>
      <c r="D6" s="120" t="s">
        <v>62</v>
      </c>
      <c r="E6" s="122" t="s">
        <v>143</v>
      </c>
      <c r="F6" s="121" t="s">
        <v>24</v>
      </c>
    </row>
    <row r="7" spans="2:6" ht="15.75" customHeight="1">
      <c r="B7" s="117"/>
      <c r="C7" s="107" t="s">
        <v>163</v>
      </c>
      <c r="D7" s="109"/>
      <c r="E7" s="108"/>
      <c r="F7" s="106"/>
    </row>
    <row r="8" spans="2:6" ht="15.75" customHeight="1">
      <c r="B8" s="117"/>
      <c r="C8" s="107"/>
      <c r="D8" s="109"/>
      <c r="E8" s="108"/>
      <c r="F8" s="106"/>
    </row>
    <row r="9" spans="2:6" ht="15.75" customHeight="1">
      <c r="B9" s="117" t="s">
        <v>11</v>
      </c>
      <c r="C9" s="46" t="s">
        <v>179</v>
      </c>
      <c r="D9" s="109" t="s">
        <v>181</v>
      </c>
      <c r="E9" s="108" t="s">
        <v>181</v>
      </c>
      <c r="F9" s="106" t="s">
        <v>60</v>
      </c>
    </row>
    <row r="10" spans="2:6" ht="15.75" customHeight="1">
      <c r="B10" s="117" t="s">
        <v>12</v>
      </c>
      <c r="C10" s="107" t="s">
        <v>178</v>
      </c>
      <c r="D10" s="109"/>
      <c r="E10" s="108"/>
      <c r="F10" s="106"/>
    </row>
    <row r="11" spans="2:6" ht="15.75" customHeight="1">
      <c r="B11" s="117"/>
      <c r="C11" s="107"/>
      <c r="D11" s="109"/>
      <c r="E11" s="108"/>
      <c r="F11" s="106"/>
    </row>
    <row r="12" spans="2:6" ht="15.75" customHeight="1">
      <c r="B12" s="117" t="s">
        <v>13</v>
      </c>
      <c r="C12" s="46" t="s">
        <v>21</v>
      </c>
      <c r="D12" s="109" t="s">
        <v>20</v>
      </c>
      <c r="E12" s="108" t="s">
        <v>20</v>
      </c>
      <c r="F12" s="106" t="s">
        <v>61</v>
      </c>
    </row>
    <row r="13" spans="2:6" ht="15.75" customHeight="1">
      <c r="B13" s="117" t="s">
        <v>11</v>
      </c>
      <c r="C13" s="107" t="s">
        <v>20</v>
      </c>
      <c r="D13" s="109"/>
      <c r="E13" s="108"/>
      <c r="F13" s="106"/>
    </row>
    <row r="14" spans="2:6" ht="15.75" customHeight="1">
      <c r="B14" s="117"/>
      <c r="C14" s="123"/>
      <c r="D14" s="109"/>
      <c r="E14" s="108"/>
      <c r="F14" s="106"/>
    </row>
    <row r="15" spans="2:6" ht="15.75" customHeight="1">
      <c r="B15" s="117" t="s">
        <v>14</v>
      </c>
      <c r="C15" s="46" t="s">
        <v>120</v>
      </c>
      <c r="D15" s="109" t="s">
        <v>141</v>
      </c>
      <c r="E15" s="108" t="s">
        <v>146</v>
      </c>
      <c r="F15" s="106" t="s">
        <v>27</v>
      </c>
    </row>
    <row r="16" spans="2:6" ht="15.75" customHeight="1">
      <c r="B16" s="117" t="s">
        <v>15</v>
      </c>
      <c r="C16" s="107" t="s">
        <v>164</v>
      </c>
      <c r="D16" s="109"/>
      <c r="E16" s="108"/>
      <c r="F16" s="106"/>
    </row>
    <row r="17" spans="2:6" ht="15.75" customHeight="1">
      <c r="B17" s="117"/>
      <c r="C17" s="107"/>
      <c r="D17" s="109"/>
      <c r="E17" s="108"/>
      <c r="F17" s="106"/>
    </row>
    <row r="18" spans="2:6" ht="15.75" customHeight="1">
      <c r="B18" s="117" t="s">
        <v>16</v>
      </c>
      <c r="C18" s="46" t="s">
        <v>112</v>
      </c>
      <c r="D18" s="109" t="s">
        <v>43</v>
      </c>
      <c r="E18" s="108" t="s">
        <v>112</v>
      </c>
      <c r="F18" s="106" t="s">
        <v>23</v>
      </c>
    </row>
    <row r="19" spans="2:6" ht="15.75" customHeight="1">
      <c r="B19" s="117" t="s">
        <v>17</v>
      </c>
      <c r="C19" s="107" t="s">
        <v>43</v>
      </c>
      <c r="D19" s="109"/>
      <c r="E19" s="108"/>
      <c r="F19" s="106"/>
    </row>
    <row r="20" spans="2:6" ht="15.75" customHeight="1">
      <c r="B20" s="117"/>
      <c r="C20" s="107"/>
      <c r="D20" s="109"/>
      <c r="E20" s="108"/>
      <c r="F20" s="106"/>
    </row>
    <row r="21" spans="2:6" ht="15.75" customHeight="1">
      <c r="B21" s="117" t="s">
        <v>114</v>
      </c>
      <c r="C21" s="46" t="s">
        <v>167</v>
      </c>
      <c r="D21" s="109" t="s">
        <v>135</v>
      </c>
      <c r="E21" s="108" t="s">
        <v>137</v>
      </c>
      <c r="F21" s="106" t="s">
        <v>22</v>
      </c>
    </row>
    <row r="22" spans="2:6" ht="15.75" customHeight="1">
      <c r="B22" s="117" t="s">
        <v>114</v>
      </c>
      <c r="C22" s="107" t="s">
        <v>124</v>
      </c>
      <c r="D22" s="109"/>
      <c r="E22" s="108"/>
      <c r="F22" s="106"/>
    </row>
    <row r="23" spans="2:6" ht="15.75" customHeight="1">
      <c r="B23" s="117"/>
      <c r="C23" s="107"/>
      <c r="D23" s="109"/>
      <c r="E23" s="108"/>
      <c r="F23" s="106"/>
    </row>
    <row r="24" spans="2:6" ht="15.75" customHeight="1">
      <c r="B24" s="117" t="s">
        <v>116</v>
      </c>
      <c r="C24" s="46" t="s">
        <v>166</v>
      </c>
      <c r="D24" s="109" t="s">
        <v>134</v>
      </c>
      <c r="E24" s="108" t="s">
        <v>134</v>
      </c>
      <c r="F24" s="106" t="s">
        <v>60</v>
      </c>
    </row>
    <row r="25" spans="2:6" ht="15.75" customHeight="1">
      <c r="B25" s="117" t="s">
        <v>114</v>
      </c>
      <c r="C25" s="107" t="s">
        <v>123</v>
      </c>
      <c r="D25" s="109"/>
      <c r="E25" s="108"/>
      <c r="F25" s="106"/>
    </row>
    <row r="26" spans="2:6" ht="15.75" customHeight="1">
      <c r="B26" s="117"/>
      <c r="C26" s="107"/>
      <c r="D26" s="109"/>
      <c r="E26" s="108"/>
      <c r="F26" s="106"/>
    </row>
    <row r="27" spans="2:6" ht="15.75" customHeight="1">
      <c r="B27" s="117" t="s">
        <v>113</v>
      </c>
      <c r="C27" s="46" t="s">
        <v>168</v>
      </c>
      <c r="D27" s="109" t="s">
        <v>131</v>
      </c>
      <c r="E27" s="108" t="s">
        <v>213</v>
      </c>
      <c r="F27" s="106" t="s">
        <v>132</v>
      </c>
    </row>
    <row r="28" spans="2:6" ht="15.75" customHeight="1">
      <c r="B28" s="117" t="s">
        <v>18</v>
      </c>
      <c r="C28" s="107" t="s">
        <v>129</v>
      </c>
      <c r="D28" s="109"/>
      <c r="E28" s="108"/>
      <c r="F28" s="106"/>
    </row>
    <row r="29" spans="2:6" ht="15.75" customHeight="1" thickBot="1">
      <c r="B29" s="118"/>
      <c r="C29" s="111"/>
      <c r="D29" s="115"/>
      <c r="E29" s="112"/>
      <c r="F29" s="110"/>
    </row>
    <row r="30" ht="9.75" customHeight="1"/>
    <row r="31" spans="2:6" ht="21" customHeight="1" thickBot="1">
      <c r="B31" s="23" t="s">
        <v>55</v>
      </c>
      <c r="C31" s="37"/>
      <c r="D31" s="37"/>
      <c r="E31" s="37"/>
      <c r="F31" s="37"/>
    </row>
    <row r="32" spans="2:6" ht="24.75" customHeight="1" thickBot="1">
      <c r="B32" s="41"/>
      <c r="C32" s="83" t="s">
        <v>57</v>
      </c>
      <c r="D32" s="75" t="s">
        <v>58</v>
      </c>
      <c r="E32" s="84" t="s">
        <v>117</v>
      </c>
      <c r="F32" s="85" t="s">
        <v>59</v>
      </c>
    </row>
    <row r="33" spans="2:6" ht="15.75" customHeight="1">
      <c r="B33" s="119" t="s">
        <v>63</v>
      </c>
      <c r="C33" s="45" t="s">
        <v>188</v>
      </c>
      <c r="D33" s="120" t="s">
        <v>189</v>
      </c>
      <c r="E33" s="122" t="s">
        <v>190</v>
      </c>
      <c r="F33" s="121" t="s">
        <v>186</v>
      </c>
    </row>
    <row r="34" spans="2:6" ht="15.75" customHeight="1">
      <c r="B34" s="117"/>
      <c r="C34" s="107" t="s">
        <v>187</v>
      </c>
      <c r="D34" s="109"/>
      <c r="E34" s="108"/>
      <c r="F34" s="106"/>
    </row>
    <row r="35" spans="2:6" ht="15.75" customHeight="1">
      <c r="B35" s="117"/>
      <c r="C35" s="107"/>
      <c r="D35" s="109"/>
      <c r="E35" s="108"/>
      <c r="F35" s="106"/>
    </row>
    <row r="36" spans="2:6" ht="15.75" customHeight="1">
      <c r="B36" s="117" t="s">
        <v>29</v>
      </c>
      <c r="C36" s="46" t="s">
        <v>115</v>
      </c>
      <c r="D36" s="109" t="s">
        <v>25</v>
      </c>
      <c r="E36" s="108" t="s">
        <v>144</v>
      </c>
      <c r="F36" s="106" t="s">
        <v>22</v>
      </c>
    </row>
    <row r="37" spans="2:6" ht="15.75" customHeight="1">
      <c r="B37" s="117"/>
      <c r="C37" s="107" t="s">
        <v>26</v>
      </c>
      <c r="D37" s="109"/>
      <c r="E37" s="108"/>
      <c r="F37" s="106"/>
    </row>
    <row r="38" spans="2:6" ht="15.75" customHeight="1">
      <c r="B38" s="117"/>
      <c r="C38" s="107"/>
      <c r="D38" s="109"/>
      <c r="E38" s="108"/>
      <c r="F38" s="106"/>
    </row>
    <row r="39" spans="2:6" ht="15.75" customHeight="1">
      <c r="B39" s="117" t="s">
        <v>30</v>
      </c>
      <c r="C39" s="46" t="s">
        <v>125</v>
      </c>
      <c r="D39" s="109" t="s">
        <v>136</v>
      </c>
      <c r="E39" s="108" t="s">
        <v>138</v>
      </c>
      <c r="F39" s="106" t="s">
        <v>24</v>
      </c>
    </row>
    <row r="40" spans="2:6" ht="15.75" customHeight="1">
      <c r="B40" s="117"/>
      <c r="C40" s="107" t="s">
        <v>126</v>
      </c>
      <c r="D40" s="109"/>
      <c r="E40" s="108"/>
      <c r="F40" s="106"/>
    </row>
    <row r="41" spans="2:6" ht="15.75" customHeight="1">
      <c r="B41" s="117"/>
      <c r="C41" s="107"/>
      <c r="D41" s="109"/>
      <c r="E41" s="108"/>
      <c r="F41" s="106"/>
    </row>
    <row r="42" spans="2:6" ht="15.75" customHeight="1">
      <c r="B42" s="117" t="s">
        <v>31</v>
      </c>
      <c r="C42" s="46" t="s">
        <v>183</v>
      </c>
      <c r="D42" s="109" t="s">
        <v>184</v>
      </c>
      <c r="E42" s="108" t="s">
        <v>185</v>
      </c>
      <c r="F42" s="106" t="s">
        <v>186</v>
      </c>
    </row>
    <row r="43" spans="2:6" ht="15.75" customHeight="1">
      <c r="B43" s="117"/>
      <c r="C43" s="107" t="s">
        <v>182</v>
      </c>
      <c r="D43" s="109"/>
      <c r="E43" s="108"/>
      <c r="F43" s="106"/>
    </row>
    <row r="44" spans="2:6" ht="15.75" customHeight="1">
      <c r="B44" s="117"/>
      <c r="C44" s="107"/>
      <c r="D44" s="109"/>
      <c r="E44" s="108"/>
      <c r="F44" s="106"/>
    </row>
    <row r="45" spans="2:6" ht="15.75" customHeight="1">
      <c r="B45" s="117" t="s">
        <v>32</v>
      </c>
      <c r="C45" s="46" t="s">
        <v>121</v>
      </c>
      <c r="D45" s="109" t="s">
        <v>161</v>
      </c>
      <c r="E45" s="108" t="s">
        <v>161</v>
      </c>
      <c r="F45" s="106" t="s">
        <v>27</v>
      </c>
    </row>
    <row r="46" spans="2:6" ht="15.75" customHeight="1">
      <c r="B46" s="117"/>
      <c r="C46" s="107" t="s">
        <v>122</v>
      </c>
      <c r="D46" s="109"/>
      <c r="E46" s="108"/>
      <c r="F46" s="106"/>
    </row>
    <row r="47" spans="2:6" ht="15.75" customHeight="1">
      <c r="B47" s="117"/>
      <c r="C47" s="107"/>
      <c r="D47" s="109"/>
      <c r="E47" s="108"/>
      <c r="F47" s="106"/>
    </row>
    <row r="48" spans="2:6" ht="15.75" customHeight="1">
      <c r="B48" s="117" t="s">
        <v>33</v>
      </c>
      <c r="C48" s="46" t="s">
        <v>192</v>
      </c>
      <c r="D48" s="109" t="s">
        <v>193</v>
      </c>
      <c r="E48" s="108" t="s">
        <v>194</v>
      </c>
      <c r="F48" s="106" t="s">
        <v>27</v>
      </c>
    </row>
    <row r="49" spans="2:6" ht="15.75" customHeight="1">
      <c r="B49" s="117"/>
      <c r="C49" s="107" t="s">
        <v>191</v>
      </c>
      <c r="D49" s="109"/>
      <c r="E49" s="108"/>
      <c r="F49" s="106"/>
    </row>
    <row r="50" spans="2:6" ht="15.75" customHeight="1" thickBot="1">
      <c r="B50" s="118"/>
      <c r="C50" s="111"/>
      <c r="D50" s="115"/>
      <c r="E50" s="112"/>
      <c r="F50" s="110"/>
    </row>
    <row r="51" ht="9.75" customHeight="1"/>
    <row r="52" spans="2:6" ht="21" customHeight="1" thickBot="1">
      <c r="B52" s="23" t="s">
        <v>56</v>
      </c>
      <c r="C52" s="37"/>
      <c r="D52" s="37"/>
      <c r="E52" s="37"/>
      <c r="F52" s="37"/>
    </row>
    <row r="53" spans="2:6" ht="24.75" customHeight="1" thickBot="1">
      <c r="B53" s="41"/>
      <c r="C53" s="40" t="s">
        <v>57</v>
      </c>
      <c r="D53" s="38" t="s">
        <v>58</v>
      </c>
      <c r="E53" s="44" t="s">
        <v>117</v>
      </c>
      <c r="F53" s="39" t="s">
        <v>59</v>
      </c>
    </row>
    <row r="54" spans="2:6" ht="15.75" customHeight="1">
      <c r="B54" s="116" t="s">
        <v>64</v>
      </c>
      <c r="C54" s="46" t="s">
        <v>118</v>
      </c>
      <c r="D54" s="109" t="s">
        <v>140</v>
      </c>
      <c r="E54" s="108" t="s">
        <v>145</v>
      </c>
      <c r="F54" s="106" t="s">
        <v>28</v>
      </c>
    </row>
    <row r="55" spans="2:6" ht="15.75" customHeight="1">
      <c r="B55" s="113"/>
      <c r="C55" s="107" t="s">
        <v>119</v>
      </c>
      <c r="D55" s="109"/>
      <c r="E55" s="108"/>
      <c r="F55" s="106"/>
    </row>
    <row r="56" spans="2:6" ht="15.75" customHeight="1">
      <c r="B56" s="113"/>
      <c r="C56" s="107"/>
      <c r="D56" s="109"/>
      <c r="E56" s="108"/>
      <c r="F56" s="106"/>
    </row>
    <row r="57" spans="2:6" ht="15.75" customHeight="1">
      <c r="B57" s="113" t="s">
        <v>65</v>
      </c>
      <c r="C57" s="46" t="s">
        <v>127</v>
      </c>
      <c r="D57" s="109" t="s">
        <v>130</v>
      </c>
      <c r="E57" s="108" t="s">
        <v>133</v>
      </c>
      <c r="F57" s="106" t="s">
        <v>132</v>
      </c>
    </row>
    <row r="58" spans="2:6" ht="15.75" customHeight="1">
      <c r="B58" s="113" t="s">
        <v>53</v>
      </c>
      <c r="C58" s="107" t="s">
        <v>128</v>
      </c>
      <c r="D58" s="109"/>
      <c r="E58" s="108"/>
      <c r="F58" s="106"/>
    </row>
    <row r="59" spans="2:6" ht="15.75" customHeight="1">
      <c r="B59" s="113"/>
      <c r="C59" s="107"/>
      <c r="D59" s="109"/>
      <c r="E59" s="108"/>
      <c r="F59" s="106"/>
    </row>
    <row r="60" spans="2:6" ht="15.75" customHeight="1">
      <c r="B60" s="113" t="s">
        <v>66</v>
      </c>
      <c r="C60" s="46" t="s">
        <v>195</v>
      </c>
      <c r="D60" s="109" t="s">
        <v>197</v>
      </c>
      <c r="E60" s="108" t="s">
        <v>198</v>
      </c>
      <c r="F60" s="106" t="s">
        <v>132</v>
      </c>
    </row>
    <row r="61" spans="2:6" ht="15.75" customHeight="1">
      <c r="B61" s="113" t="s">
        <v>53</v>
      </c>
      <c r="C61" s="107" t="s">
        <v>196</v>
      </c>
      <c r="D61" s="109"/>
      <c r="E61" s="108"/>
      <c r="F61" s="106"/>
    </row>
    <row r="62" spans="2:6" ht="15.75" customHeight="1">
      <c r="B62" s="113"/>
      <c r="C62" s="107"/>
      <c r="D62" s="109"/>
      <c r="E62" s="108"/>
      <c r="F62" s="106"/>
    </row>
    <row r="63" spans="2:6" ht="15.75" customHeight="1">
      <c r="B63" s="113" t="s">
        <v>67</v>
      </c>
      <c r="C63" s="46" t="s">
        <v>165</v>
      </c>
      <c r="D63" s="109" t="s">
        <v>139</v>
      </c>
      <c r="E63" s="108" t="s">
        <v>139</v>
      </c>
      <c r="F63" s="106" t="s">
        <v>23</v>
      </c>
    </row>
    <row r="64" spans="2:6" ht="15.75" customHeight="1">
      <c r="B64" s="113" t="s">
        <v>53</v>
      </c>
      <c r="C64" s="107" t="s">
        <v>162</v>
      </c>
      <c r="D64" s="109"/>
      <c r="E64" s="108"/>
      <c r="F64" s="106"/>
    </row>
    <row r="65" spans="2:6" ht="15.75" customHeight="1">
      <c r="B65" s="113"/>
      <c r="C65" s="107"/>
      <c r="D65" s="109"/>
      <c r="E65" s="108"/>
      <c r="F65" s="106"/>
    </row>
    <row r="66" spans="2:6" ht="15.75" customHeight="1">
      <c r="B66" s="113" t="s">
        <v>68</v>
      </c>
      <c r="C66" s="46" t="s">
        <v>200</v>
      </c>
      <c r="D66" s="109" t="s">
        <v>201</v>
      </c>
      <c r="E66" s="108" t="s">
        <v>202</v>
      </c>
      <c r="F66" s="106" t="s">
        <v>203</v>
      </c>
    </row>
    <row r="67" spans="2:6" ht="15.75" customHeight="1">
      <c r="B67" s="113" t="s">
        <v>53</v>
      </c>
      <c r="C67" s="107" t="s">
        <v>199</v>
      </c>
      <c r="D67" s="109"/>
      <c r="E67" s="108"/>
      <c r="F67" s="106"/>
    </row>
    <row r="68" spans="2:6" ht="15.75" customHeight="1">
      <c r="B68" s="113"/>
      <c r="C68" s="107"/>
      <c r="D68" s="109"/>
      <c r="E68" s="108"/>
      <c r="F68" s="106"/>
    </row>
    <row r="69" spans="2:6" ht="15.75" customHeight="1">
      <c r="B69" s="113" t="s">
        <v>34</v>
      </c>
      <c r="C69" s="46" t="s">
        <v>207</v>
      </c>
      <c r="D69" s="109" t="s">
        <v>205</v>
      </c>
      <c r="E69" s="108" t="s">
        <v>204</v>
      </c>
      <c r="F69" s="106" t="s">
        <v>203</v>
      </c>
    </row>
    <row r="70" spans="2:6" ht="15.75" customHeight="1">
      <c r="B70" s="113"/>
      <c r="C70" s="107" t="s">
        <v>206</v>
      </c>
      <c r="D70" s="109"/>
      <c r="E70" s="108"/>
      <c r="F70" s="106"/>
    </row>
    <row r="71" spans="2:6" ht="15.75" customHeight="1" thickBot="1">
      <c r="B71" s="114"/>
      <c r="C71" s="111"/>
      <c r="D71" s="115"/>
      <c r="E71" s="112"/>
      <c r="F71" s="110"/>
    </row>
    <row r="72" ht="14.25" customHeight="1"/>
    <row r="73" spans="2:6" ht="14.25" customHeight="1">
      <c r="B73" s="15"/>
      <c r="C73" s="15"/>
      <c r="D73" s="15"/>
      <c r="E73" s="15"/>
      <c r="F73" s="15"/>
    </row>
    <row r="74" ht="14.25" customHeight="1"/>
    <row r="75" ht="14.25" customHeight="1"/>
    <row r="76" ht="14.25" customHeight="1"/>
    <row r="77" ht="15" customHeight="1"/>
  </sheetData>
  <sheetProtection/>
  <mergeCells count="100">
    <mergeCell ref="B18:B20"/>
    <mergeCell ref="B21:B23"/>
    <mergeCell ref="F27:F29"/>
    <mergeCell ref="C28:C29"/>
    <mergeCell ref="E27:E29"/>
    <mergeCell ref="B24:B26"/>
    <mergeCell ref="D24:D26"/>
    <mergeCell ref="F24:F26"/>
    <mergeCell ref="B27:B29"/>
    <mergeCell ref="D27:D29"/>
    <mergeCell ref="F18:F20"/>
    <mergeCell ref="C19:C20"/>
    <mergeCell ref="E60:E62"/>
    <mergeCell ref="E63:E65"/>
    <mergeCell ref="C25:C26"/>
    <mergeCell ref="E24:E26"/>
    <mergeCell ref="F21:F23"/>
    <mergeCell ref="C22:C23"/>
    <mergeCell ref="E54:E56"/>
    <mergeCell ref="E57:E59"/>
    <mergeCell ref="B12:B14"/>
    <mergeCell ref="B15:B17"/>
    <mergeCell ref="F60:F62"/>
    <mergeCell ref="C61:C62"/>
    <mergeCell ref="F12:F14"/>
    <mergeCell ref="C13:C14"/>
    <mergeCell ref="D15:D17"/>
    <mergeCell ref="F15:F17"/>
    <mergeCell ref="C16:C17"/>
    <mergeCell ref="D18:D20"/>
    <mergeCell ref="D12:D14"/>
    <mergeCell ref="D21:D23"/>
    <mergeCell ref="E12:E14"/>
    <mergeCell ref="E15:E17"/>
    <mergeCell ref="E18:E20"/>
    <mergeCell ref="E21:E23"/>
    <mergeCell ref="F9:F11"/>
    <mergeCell ref="C10:C11"/>
    <mergeCell ref="B6:B8"/>
    <mergeCell ref="C7:C8"/>
    <mergeCell ref="D6:D8"/>
    <mergeCell ref="F6:F8"/>
    <mergeCell ref="E6:E8"/>
    <mergeCell ref="E9:E11"/>
    <mergeCell ref="B9:B11"/>
    <mergeCell ref="D9:D11"/>
    <mergeCell ref="B33:B35"/>
    <mergeCell ref="D36:D38"/>
    <mergeCell ref="F36:F38"/>
    <mergeCell ref="C37:C38"/>
    <mergeCell ref="E36:E38"/>
    <mergeCell ref="B36:B38"/>
    <mergeCell ref="D33:D35"/>
    <mergeCell ref="F33:F35"/>
    <mergeCell ref="C34:C35"/>
    <mergeCell ref="E33:E35"/>
    <mergeCell ref="B39:B41"/>
    <mergeCell ref="D39:D41"/>
    <mergeCell ref="F39:F41"/>
    <mergeCell ref="C40:C41"/>
    <mergeCell ref="E39:E41"/>
    <mergeCell ref="B42:B44"/>
    <mergeCell ref="D42:D44"/>
    <mergeCell ref="F42:F44"/>
    <mergeCell ref="C43:C44"/>
    <mergeCell ref="E42:E44"/>
    <mergeCell ref="B45:B47"/>
    <mergeCell ref="D45:D47"/>
    <mergeCell ref="F45:F47"/>
    <mergeCell ref="C46:C47"/>
    <mergeCell ref="E45:E47"/>
    <mergeCell ref="B48:B50"/>
    <mergeCell ref="D48:D50"/>
    <mergeCell ref="F48:F50"/>
    <mergeCell ref="C49:C50"/>
    <mergeCell ref="E48:E50"/>
    <mergeCell ref="B57:B59"/>
    <mergeCell ref="D57:D59"/>
    <mergeCell ref="F57:F59"/>
    <mergeCell ref="C58:C59"/>
    <mergeCell ref="B54:B56"/>
    <mergeCell ref="D54:D56"/>
    <mergeCell ref="F54:F56"/>
    <mergeCell ref="C55:C56"/>
    <mergeCell ref="B60:B62"/>
    <mergeCell ref="D60:D62"/>
    <mergeCell ref="B69:B71"/>
    <mergeCell ref="D69:D71"/>
    <mergeCell ref="B63:B65"/>
    <mergeCell ref="D63:D65"/>
    <mergeCell ref="B66:B68"/>
    <mergeCell ref="F63:F65"/>
    <mergeCell ref="C64:C65"/>
    <mergeCell ref="E66:E68"/>
    <mergeCell ref="D66:D68"/>
    <mergeCell ref="F69:F71"/>
    <mergeCell ref="C70:C71"/>
    <mergeCell ref="F66:F68"/>
    <mergeCell ref="C67:C68"/>
    <mergeCell ref="E69:E71"/>
  </mergeCell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BR65"/>
  <sheetViews>
    <sheetView view="pageBreakPreview" zoomScale="55" zoomScaleNormal="60" zoomScaleSheetLayoutView="55" zoomScalePageLayoutView="0" workbookViewId="0" topLeftCell="A1">
      <pane xSplit="2" ySplit="4" topLeftCell="C5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AR58" sqref="AR58"/>
    </sheetView>
  </sheetViews>
  <sheetFormatPr defaultColWidth="8.59765625" defaultRowHeight="15"/>
  <cols>
    <col min="1" max="1" width="1.59765625" style="0" customWidth="1"/>
    <col min="2" max="2" width="16.59765625" style="0" customWidth="1"/>
    <col min="3" max="42" width="3.59765625" style="0" customWidth="1"/>
    <col min="43" max="45" width="5.59765625" style="0" customWidth="1"/>
    <col min="46" max="46" width="6.59765625" style="0" customWidth="1"/>
    <col min="47" max="48" width="5.59765625" style="0" hidden="1" customWidth="1"/>
    <col min="49" max="50" width="6.59765625" style="0" customWidth="1"/>
    <col min="51" max="51" width="3.5" style="0" customWidth="1"/>
    <col min="52" max="52" width="8.59765625" style="0" customWidth="1"/>
    <col min="53" max="53" width="4.5" style="0" customWidth="1"/>
    <col min="54" max="54" width="8.69921875" style="0" customWidth="1"/>
    <col min="55" max="55" width="4.5" style="0" customWidth="1"/>
    <col min="56" max="59" width="4.59765625" style="0" hidden="1" customWidth="1"/>
    <col min="60" max="60" width="7.09765625" style="0" hidden="1" customWidth="1"/>
    <col min="61" max="61" width="9.59765625" style="0" hidden="1" customWidth="1"/>
    <col min="62" max="62" width="2.59765625" style="0" hidden="1" customWidth="1"/>
    <col min="63" max="70" width="3.59765625" style="0" hidden="1" customWidth="1"/>
    <col min="71" max="71" width="3.59765625" style="0" customWidth="1"/>
  </cols>
  <sheetData>
    <row r="1" spans="2:50" ht="24">
      <c r="B1" s="25" t="s">
        <v>216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3" spans="5:50" ht="18.75" customHeight="1" thickBot="1">
      <c r="E3" s="4" t="s">
        <v>77</v>
      </c>
      <c r="AQ3" s="72">
        <v>1</v>
      </c>
      <c r="AR3" s="48" t="str">
        <f>IF(AQ3=1,"略称表示","日本語略称表示")</f>
        <v>略称表示</v>
      </c>
      <c r="AS3" s="49"/>
      <c r="AT3" s="49"/>
      <c r="AU3" s="49"/>
      <c r="AV3" s="49"/>
      <c r="AW3" s="49"/>
      <c r="AX3" s="49"/>
    </row>
    <row r="4" spans="2:59" ht="29.25" customHeight="1" thickBot="1">
      <c r="B4" s="1"/>
      <c r="C4" s="196" t="str">
        <f>+B6</f>
        <v>BANFF</v>
      </c>
      <c r="D4" s="188"/>
      <c r="E4" s="188"/>
      <c r="F4" s="188"/>
      <c r="G4" s="189"/>
      <c r="H4" s="187" t="str">
        <f>+B10</f>
        <v>ｳﾞｫｽｸｵｰﾚ</v>
      </c>
      <c r="I4" s="188"/>
      <c r="J4" s="188"/>
      <c r="K4" s="188"/>
      <c r="L4" s="189"/>
      <c r="M4" s="187" t="str">
        <f>+B14</f>
        <v>かちかち山</v>
      </c>
      <c r="N4" s="188"/>
      <c r="O4" s="188"/>
      <c r="P4" s="188"/>
      <c r="Q4" s="189"/>
      <c r="R4" s="187" t="str">
        <f>+B18</f>
        <v>malva</v>
      </c>
      <c r="S4" s="188"/>
      <c r="T4" s="188"/>
      <c r="U4" s="188"/>
      <c r="V4" s="189"/>
      <c r="W4" s="187" t="str">
        <f>+B22</f>
        <v>Sabedoria</v>
      </c>
      <c r="X4" s="188"/>
      <c r="Y4" s="188"/>
      <c r="Z4" s="188"/>
      <c r="AA4" s="189"/>
      <c r="AB4" s="187" t="str">
        <f>+B26</f>
        <v>volviendo</v>
      </c>
      <c r="AC4" s="188"/>
      <c r="AD4" s="188"/>
      <c r="AE4" s="188"/>
      <c r="AF4" s="189"/>
      <c r="AG4" s="187" t="str">
        <f>+B30</f>
        <v>東北大学</v>
      </c>
      <c r="AH4" s="188"/>
      <c r="AI4" s="188"/>
      <c r="AJ4" s="188"/>
      <c r="AK4" s="189"/>
      <c r="AL4" s="187" t="str">
        <f>+B34</f>
        <v>CROSS</v>
      </c>
      <c r="AM4" s="188"/>
      <c r="AN4" s="188"/>
      <c r="AO4" s="188"/>
      <c r="AP4" s="188"/>
      <c r="AQ4" s="33" t="s">
        <v>69</v>
      </c>
      <c r="AR4" s="5" t="s">
        <v>70</v>
      </c>
      <c r="AS4" s="5" t="s">
        <v>71</v>
      </c>
      <c r="AT4" s="6" t="s">
        <v>72</v>
      </c>
      <c r="AU4" s="7" t="s">
        <v>73</v>
      </c>
      <c r="AV4" s="8" t="s">
        <v>74</v>
      </c>
      <c r="AW4" s="9" t="s">
        <v>75</v>
      </c>
      <c r="AX4" s="10" t="s">
        <v>76</v>
      </c>
      <c r="AZ4" s="43" t="s">
        <v>111</v>
      </c>
      <c r="BA4" s="50"/>
      <c r="BB4" s="73" t="s">
        <v>173</v>
      </c>
      <c r="BC4" s="50"/>
      <c r="BD4" s="74" t="s">
        <v>174</v>
      </c>
      <c r="BE4" s="74"/>
      <c r="BF4" s="74" t="s">
        <v>175</v>
      </c>
      <c r="BG4" s="74"/>
    </row>
    <row r="5" spans="2:70" ht="24" customHeight="1" thickBot="1">
      <c r="B5" s="58" t="str">
        <f>+AX58</f>
        <v>Ａ</v>
      </c>
      <c r="C5" s="191"/>
      <c r="D5" s="192"/>
      <c r="E5" s="192"/>
      <c r="F5" s="192"/>
      <c r="G5" s="193"/>
      <c r="H5" s="138">
        <f>VLOOKUP("前"&amp;$B5&amp;J$39,'１部対戦表'!$R$1:$U$141,4,FALSE)</f>
        <v>40399</v>
      </c>
      <c r="I5" s="139"/>
      <c r="J5" s="139"/>
      <c r="K5" s="139"/>
      <c r="L5" s="140"/>
      <c r="M5" s="138">
        <f>VLOOKUP("前"&amp;$B5&amp;O$39,'１部対戦表'!$R$1:$U$141,4,FALSE)</f>
        <v>40379</v>
      </c>
      <c r="N5" s="139"/>
      <c r="O5" s="139"/>
      <c r="P5" s="139"/>
      <c r="Q5" s="140"/>
      <c r="R5" s="138">
        <f>VLOOKUP("前"&amp;$B5&amp;T$39,'１部対戦表'!$R$1:$U$141,4,FALSE)</f>
        <v>40392</v>
      </c>
      <c r="S5" s="139"/>
      <c r="T5" s="139"/>
      <c r="U5" s="139"/>
      <c r="V5" s="140"/>
      <c r="W5" s="138">
        <f>VLOOKUP("前"&amp;$B5&amp;Y$39,'１部対戦表'!$R$1:$U$141,4,FALSE)</f>
        <v>40364</v>
      </c>
      <c r="X5" s="139"/>
      <c r="Y5" s="139"/>
      <c r="Z5" s="139"/>
      <c r="AA5" s="140"/>
      <c r="AB5" s="138">
        <f>VLOOKUP("前"&amp;$B5&amp;AD$39,'１部対戦表'!$R$1:$U$141,4,FALSE)</f>
        <v>40350</v>
      </c>
      <c r="AC5" s="139"/>
      <c r="AD5" s="139"/>
      <c r="AE5" s="139"/>
      <c r="AF5" s="140"/>
      <c r="AG5" s="138">
        <f>VLOOKUP("前"&amp;$B5&amp;AI$39,'１部対戦表'!$R$1:$U$141,4,FALSE)</f>
        <v>40343</v>
      </c>
      <c r="AH5" s="139"/>
      <c r="AI5" s="139"/>
      <c r="AJ5" s="139"/>
      <c r="AK5" s="140"/>
      <c r="AL5" s="138">
        <f>VLOOKUP("前"&amp;$B5&amp;AN$39,'１部対戦表'!$R$1:$U$141,4,FALSE)</f>
        <v>40315</v>
      </c>
      <c r="AM5" s="139"/>
      <c r="AN5" s="139"/>
      <c r="AO5" s="139"/>
      <c r="AP5" s="139"/>
      <c r="AQ5" s="153">
        <f>IF(AND($BD6=0,$BE6=0,$BF6=0),"",BD6)</f>
      </c>
      <c r="AR5" s="169">
        <f>IF(AND($BD6=0,$BE6=0,$BF6=0),"",BE6)</f>
      </c>
      <c r="AS5" s="169">
        <f>IF(AND($BD6=0,$BE6=0,$BF6=0),"",BF6)</f>
      </c>
      <c r="AT5" s="172">
        <f>IF(AND($BD6=0,$BE6=0,$BF6=0),"",BG6+AZ6)</f>
      </c>
      <c r="AU5" s="182">
        <f>IF(AND($BD6=0,$BE6=0,$BF6=0),"",BD8)</f>
      </c>
      <c r="AV5" s="182">
        <f>IF(AND($BD6=0,$BE6=0,$BF6=0),"",BE8)</f>
      </c>
      <c r="AW5" s="179">
        <f>IF(AND($BD6=0,$BE6=0,$BF6=0),"",BF8)</f>
      </c>
      <c r="AX5" s="150">
        <f>IF(AND($BD6=0,$BE6=0,$BF6=0),"",RANK(BI7,BI$7:BI$35))</f>
      </c>
      <c r="BD5" s="57" t="s">
        <v>86</v>
      </c>
      <c r="BE5" s="57" t="s">
        <v>87</v>
      </c>
      <c r="BF5" s="57" t="s">
        <v>88</v>
      </c>
      <c r="BG5" s="57" t="s">
        <v>89</v>
      </c>
      <c r="BH5" s="20"/>
      <c r="BI5" s="20"/>
      <c r="BJ5" s="20"/>
      <c r="BK5" s="52">
        <f>IF(D6&lt;&gt;"",D6,0)</f>
        <v>0</v>
      </c>
      <c r="BL5" s="52">
        <f>IF(I6&lt;&gt;"",I6,0)</f>
        <v>0</v>
      </c>
      <c r="BM5" s="52">
        <f>IF(N6&lt;&gt;"",N6,0)</f>
        <v>0</v>
      </c>
      <c r="BN5" s="52">
        <f>IF(S6&lt;&gt;"",S6,0)</f>
        <v>0</v>
      </c>
      <c r="BO5" s="52">
        <f>IF(X6&lt;&gt;"",X6,0)</f>
        <v>0</v>
      </c>
      <c r="BP5" s="52">
        <f>IF(AC6&lt;&gt;"",AC6,0)</f>
        <v>0</v>
      </c>
      <c r="BQ5" s="52">
        <f>IF(AH6&lt;&gt;"",AH6,0)</f>
        <v>0</v>
      </c>
      <c r="BR5" s="52">
        <f>IF(AM6&lt;&gt;"",AM6,0)</f>
        <v>0</v>
      </c>
    </row>
    <row r="6" spans="2:70" ht="24" customHeight="1">
      <c r="B6" s="155" t="str">
        <f>VLOOKUP(B5,'参加チーム'!$B$5:$F$73,IF($AQ$3=1,3,4),FALSE)</f>
        <v>BANFF</v>
      </c>
      <c r="C6" s="194"/>
      <c r="D6" s="145"/>
      <c r="E6" s="145"/>
      <c r="F6" s="145"/>
      <c r="G6" s="146"/>
      <c r="H6" s="30" t="s">
        <v>78</v>
      </c>
      <c r="I6" s="31">
        <f>VLOOKUP("前"&amp;$B5&amp;J$39,'１部対戦表'!$R$1:$U$141,2,FALSE)</f>
      </c>
      <c r="J6" s="31">
        <f>IF(I6&lt;&gt;"",IF(I6&gt;K6,"○",IF(I6&lt;K6,"●","△")),"")</f>
      </c>
      <c r="K6" s="31">
        <f>VLOOKUP("前"&amp;$B5&amp;J$39,'１部対戦表'!$R$1:$U$141,3,FALSE)</f>
      </c>
      <c r="L6" s="32" t="s">
        <v>79</v>
      </c>
      <c r="M6" s="30" t="s">
        <v>78</v>
      </c>
      <c r="N6" s="31">
        <f>VLOOKUP("前"&amp;$B5&amp;O$39,'１部対戦表'!$R$1:$U$141,2,FALSE)</f>
      </c>
      <c r="O6" s="31">
        <f>IF(N6&lt;&gt;"",IF(N6&gt;P6,"○",IF(N6&lt;P6,"●","△")),"")</f>
      </c>
      <c r="P6" s="31">
        <f>VLOOKUP("前"&amp;$B5&amp;O$39,'１部対戦表'!$R$1:$U$141,3,FALSE)</f>
      </c>
      <c r="Q6" s="32" t="s">
        <v>79</v>
      </c>
      <c r="R6" s="30" t="s">
        <v>78</v>
      </c>
      <c r="S6" s="31">
        <f>VLOOKUP("前"&amp;$B5&amp;T$39,'１部対戦表'!$R$1:$U$141,2,FALSE)</f>
      </c>
      <c r="T6" s="31">
        <f>IF(S6&lt;&gt;"",IF(S6&gt;U6,"○",IF(S6&lt;U6,"●","△")),"")</f>
      </c>
      <c r="U6" s="31">
        <f>VLOOKUP("前"&amp;$B5&amp;T$39,'１部対戦表'!$R$1:$U$141,3,FALSE)</f>
      </c>
      <c r="V6" s="32" t="s">
        <v>79</v>
      </c>
      <c r="W6" s="30" t="s">
        <v>78</v>
      </c>
      <c r="X6" s="31">
        <f>VLOOKUP("前"&amp;$B5&amp;Y$39,'１部対戦表'!$R$1:$U$141,2,FALSE)</f>
      </c>
      <c r="Y6" s="31">
        <f>IF(X6&lt;&gt;"",IF(X6&gt;Z6,"○",IF(X6&lt;Z6,"●","△")),"")</f>
      </c>
      <c r="Z6" s="31">
        <f>VLOOKUP("前"&amp;$B5&amp;Y$39,'１部対戦表'!$R$1:$U$141,3,FALSE)</f>
      </c>
      <c r="AA6" s="32" t="s">
        <v>79</v>
      </c>
      <c r="AB6" s="30" t="s">
        <v>78</v>
      </c>
      <c r="AC6" s="31">
        <f>VLOOKUP("前"&amp;$B5&amp;AD$39,'１部対戦表'!$R$1:$U$141,2,FALSE)</f>
      </c>
      <c r="AD6" s="31">
        <f>IF(AC6&lt;&gt;"",IF(AC6&gt;AE6,"○",IF(AC6&lt;AE6,"●","△")),"")</f>
      </c>
      <c r="AE6" s="31">
        <f>VLOOKUP("前"&amp;$B5&amp;AD$39,'１部対戦表'!$R$1:$U$141,3,FALSE)</f>
      </c>
      <c r="AF6" s="32" t="s">
        <v>79</v>
      </c>
      <c r="AG6" s="30" t="s">
        <v>78</v>
      </c>
      <c r="AH6" s="31">
        <f>VLOOKUP("前"&amp;$B5&amp;AI$39,'１部対戦表'!$R$1:$U$141,2,FALSE)</f>
      </c>
      <c r="AI6" s="31">
        <f>IF(AH6&lt;&gt;"",IF(AH6&gt;AJ6,"○",IF(AH6&lt;AJ6,"●","△")),"")</f>
      </c>
      <c r="AJ6" s="31">
        <f>VLOOKUP("前"&amp;$B5&amp;AI$39,'１部対戦表'!$R$1:$U$141,3,FALSE)</f>
      </c>
      <c r="AK6" s="32" t="s">
        <v>79</v>
      </c>
      <c r="AL6" s="30" t="s">
        <v>78</v>
      </c>
      <c r="AM6" s="31">
        <f>VLOOKUP("前"&amp;$B5&amp;AN$39,'１部対戦表'!$R$1:$U$141,2,FALSE)</f>
      </c>
      <c r="AN6" s="31">
        <f>IF(AM6&lt;&gt;"",IF(AM6&gt;AO6,"○",IF(AM6&lt;AO6,"●","△")),"")</f>
      </c>
      <c r="AO6" s="31">
        <f>VLOOKUP("前"&amp;$B5&amp;AN$39,'１部対戦表'!$R$1:$U$141,3,FALSE)</f>
      </c>
      <c r="AP6" s="31" t="s">
        <v>79</v>
      </c>
      <c r="AQ6" s="153"/>
      <c r="AR6" s="169"/>
      <c r="AS6" s="169"/>
      <c r="AT6" s="172"/>
      <c r="AU6" s="165"/>
      <c r="AV6" s="165"/>
      <c r="AW6" s="174"/>
      <c r="AX6" s="151"/>
      <c r="AZ6" s="158"/>
      <c r="BA6" s="51"/>
      <c r="BB6" s="124"/>
      <c r="BC6" s="51"/>
      <c r="BD6" s="22">
        <f>COUNTIF($C5:$AP8,"○")</f>
        <v>0</v>
      </c>
      <c r="BE6" s="22">
        <f>COUNTIF($C5:$AP8,"△")</f>
        <v>0</v>
      </c>
      <c r="BF6" s="22">
        <f>COUNTIF($C5:$AP8,"●")</f>
        <v>0</v>
      </c>
      <c r="BG6" s="57">
        <f>BD6*3+BE6</f>
        <v>0</v>
      </c>
      <c r="BH6" s="20"/>
      <c r="BI6" s="20"/>
      <c r="BJ6" s="20"/>
      <c r="BK6" s="53">
        <f>IF(F6&lt;&gt;"",F6,0)</f>
        <v>0</v>
      </c>
      <c r="BL6" s="53">
        <f>IF(K6&lt;&gt;"",K6,0)</f>
        <v>0</v>
      </c>
      <c r="BM6" s="53">
        <f>IF(P6&lt;&gt;"",P6,0)</f>
        <v>0</v>
      </c>
      <c r="BN6" s="53">
        <f>IF(U6&lt;&gt;"",U6,0)</f>
        <v>0</v>
      </c>
      <c r="BO6" s="53">
        <f>IF(Z6&lt;&gt;"",Z6,0)</f>
        <v>0</v>
      </c>
      <c r="BP6" s="53">
        <f>IF(AE6&lt;&gt;"",AE6,0)</f>
        <v>0</v>
      </c>
      <c r="BQ6" s="53">
        <f>IF(AJ6&lt;&gt;"",AJ6,0)</f>
        <v>0</v>
      </c>
      <c r="BR6" s="53">
        <f>IF(AO6&lt;&gt;"",AO6,0)</f>
        <v>0</v>
      </c>
    </row>
    <row r="7" spans="2:70" ht="24" customHeight="1" thickBot="1">
      <c r="B7" s="155"/>
      <c r="C7" s="194"/>
      <c r="D7" s="145"/>
      <c r="E7" s="145"/>
      <c r="F7" s="145"/>
      <c r="G7" s="146"/>
      <c r="H7" s="184" t="e">
        <f>VLOOKUP("後"&amp;$B5&amp;J$39,'１部対戦表'!$R$1:$U$141,4,FALSE)</f>
        <v>#N/A</v>
      </c>
      <c r="I7" s="185"/>
      <c r="J7" s="185"/>
      <c r="K7" s="185"/>
      <c r="L7" s="186"/>
      <c r="M7" s="184" t="e">
        <f>VLOOKUP("後"&amp;$B5&amp;O$39,'１部対戦表'!$R$1:$U$141,4,FALSE)</f>
        <v>#N/A</v>
      </c>
      <c r="N7" s="185"/>
      <c r="O7" s="185"/>
      <c r="P7" s="185"/>
      <c r="Q7" s="186"/>
      <c r="R7" s="184" t="e">
        <f>VLOOKUP("後"&amp;$B5&amp;T$39,'１部対戦表'!$R$1:$U$141,4,FALSE)</f>
        <v>#N/A</v>
      </c>
      <c r="S7" s="185"/>
      <c r="T7" s="185"/>
      <c r="U7" s="185"/>
      <c r="V7" s="186"/>
      <c r="W7" s="184" t="e">
        <f>VLOOKUP("後"&amp;$B5&amp;Y$39,'１部対戦表'!$R$1:$U$141,4,FALSE)</f>
        <v>#N/A</v>
      </c>
      <c r="X7" s="185"/>
      <c r="Y7" s="185"/>
      <c r="Z7" s="185"/>
      <c r="AA7" s="186"/>
      <c r="AB7" s="184" t="e">
        <f>VLOOKUP("後"&amp;$B5&amp;AD$39,'１部対戦表'!$R$1:$U$141,4,FALSE)</f>
        <v>#N/A</v>
      </c>
      <c r="AC7" s="185"/>
      <c r="AD7" s="185"/>
      <c r="AE7" s="185"/>
      <c r="AF7" s="186"/>
      <c r="AG7" s="184" t="e">
        <f>VLOOKUP("後"&amp;$B5&amp;AI$39,'１部対戦表'!$R$1:$U$141,4,FALSE)</f>
        <v>#N/A</v>
      </c>
      <c r="AH7" s="185"/>
      <c r="AI7" s="185"/>
      <c r="AJ7" s="185"/>
      <c r="AK7" s="186"/>
      <c r="AL7" s="184" t="e">
        <f>VLOOKUP("後"&amp;$B5&amp;AN$39,'１部対戦表'!$R$1:$U$141,4,FALSE)</f>
        <v>#N/A</v>
      </c>
      <c r="AM7" s="185"/>
      <c r="AN7" s="185"/>
      <c r="AO7" s="185"/>
      <c r="AP7" s="185"/>
      <c r="AQ7" s="153"/>
      <c r="AR7" s="169"/>
      <c r="AS7" s="169"/>
      <c r="AT7" s="172"/>
      <c r="AU7" s="165"/>
      <c r="AV7" s="165"/>
      <c r="AW7" s="174"/>
      <c r="AX7" s="151"/>
      <c r="AZ7" s="159"/>
      <c r="BA7" s="51"/>
      <c r="BB7" s="125"/>
      <c r="BC7" s="51"/>
      <c r="BD7" s="65" t="s">
        <v>90</v>
      </c>
      <c r="BE7" s="65" t="s">
        <v>91</v>
      </c>
      <c r="BF7" s="65" t="s">
        <v>92</v>
      </c>
      <c r="BG7" s="21"/>
      <c r="BH7" s="21" t="s">
        <v>98</v>
      </c>
      <c r="BI7" s="55">
        <f>IF(AND(BD6=0,BE6=0,BF6=0),0,AT5*1000+AW5+IF(BB6=$BD$4,100,0)+IF(BB6=$BF$4,-100,0))</f>
        <v>0</v>
      </c>
      <c r="BJ7" s="56"/>
      <c r="BK7" s="53">
        <f>IF(D8&lt;&gt;"",D8,0)</f>
        <v>0</v>
      </c>
      <c r="BL7" s="53" t="e">
        <f>IF(I8&lt;&gt;"",I8,0)</f>
        <v>#N/A</v>
      </c>
      <c r="BM7" s="53" t="e">
        <f>IF(N8&lt;&gt;"",N8,0)</f>
        <v>#N/A</v>
      </c>
      <c r="BN7" s="53" t="e">
        <f>IF(S8&lt;&gt;"",S8,0)</f>
        <v>#N/A</v>
      </c>
      <c r="BO7" s="53" t="e">
        <f>IF(X8&lt;&gt;"",X8,0)</f>
        <v>#N/A</v>
      </c>
      <c r="BP7" s="53" t="e">
        <f>IF(AC8&lt;&gt;"",AC8,0)</f>
        <v>#N/A</v>
      </c>
      <c r="BQ7" s="53" t="e">
        <f>IF(AH8&lt;&gt;"",AH8,0)</f>
        <v>#N/A</v>
      </c>
      <c r="BR7" s="53" t="e">
        <f>IF(AM8&lt;&gt;"",AM8,0)</f>
        <v>#N/A</v>
      </c>
    </row>
    <row r="8" spans="2:70" ht="24" customHeight="1">
      <c r="B8" s="190"/>
      <c r="C8" s="195"/>
      <c r="D8" s="148"/>
      <c r="E8" s="148"/>
      <c r="F8" s="148"/>
      <c r="G8" s="149"/>
      <c r="H8" s="27" t="s">
        <v>78</v>
      </c>
      <c r="I8" s="28" t="e">
        <f>VLOOKUP("後"&amp;$B5&amp;J$39,'１部対戦表'!$R$1:$U$141,2,FALSE)</f>
        <v>#N/A</v>
      </c>
      <c r="J8" s="28" t="e">
        <f>IF(I8&lt;&gt;"",IF(I8&gt;K8,"○",IF(I8&lt;K8,"●","△")),"")</f>
        <v>#N/A</v>
      </c>
      <c r="K8" s="28" t="e">
        <f>VLOOKUP("後"&amp;$B5&amp;J$39,'１部対戦表'!$R$1:$U$141,3,FALSE)</f>
        <v>#N/A</v>
      </c>
      <c r="L8" s="29" t="s">
        <v>79</v>
      </c>
      <c r="M8" s="27" t="s">
        <v>78</v>
      </c>
      <c r="N8" s="28" t="e">
        <f>VLOOKUP("後"&amp;$B5&amp;O$39,'１部対戦表'!$R$1:$U$141,2,FALSE)</f>
        <v>#N/A</v>
      </c>
      <c r="O8" s="28" t="e">
        <f>IF(N8&lt;&gt;"",IF(N8&gt;P8,"○",IF(N8&lt;P8,"●","△")),"")</f>
        <v>#N/A</v>
      </c>
      <c r="P8" s="28" t="e">
        <f>VLOOKUP("後"&amp;$B5&amp;O$39,'１部対戦表'!$R$1:$U$141,3,FALSE)</f>
        <v>#N/A</v>
      </c>
      <c r="Q8" s="29" t="s">
        <v>79</v>
      </c>
      <c r="R8" s="27" t="s">
        <v>78</v>
      </c>
      <c r="S8" s="28" t="e">
        <f>VLOOKUP("後"&amp;$B5&amp;T$39,'１部対戦表'!$R$1:$U$141,2,FALSE)</f>
        <v>#N/A</v>
      </c>
      <c r="T8" s="28" t="e">
        <f>IF(S8&lt;&gt;"",IF(S8&gt;U8,"○",IF(S8&lt;U8,"●","△")),"")</f>
        <v>#N/A</v>
      </c>
      <c r="U8" s="28" t="e">
        <f>VLOOKUP("後"&amp;$B5&amp;T$39,'１部対戦表'!$R$1:$U$141,3,FALSE)</f>
        <v>#N/A</v>
      </c>
      <c r="V8" s="29" t="s">
        <v>79</v>
      </c>
      <c r="W8" s="27" t="s">
        <v>78</v>
      </c>
      <c r="X8" s="28" t="e">
        <f>VLOOKUP("後"&amp;$B5&amp;Y$39,'１部対戦表'!$R$1:$U$141,2,FALSE)</f>
        <v>#N/A</v>
      </c>
      <c r="Y8" s="28" t="e">
        <f>IF(X8&lt;&gt;"",IF(X8&gt;Z8,"○",IF(X8&lt;Z8,"●","△")),"")</f>
        <v>#N/A</v>
      </c>
      <c r="Z8" s="28" t="e">
        <f>VLOOKUP("後"&amp;$B5&amp;Y$39,'１部対戦表'!$R$1:$U$141,3,FALSE)</f>
        <v>#N/A</v>
      </c>
      <c r="AA8" s="29" t="s">
        <v>79</v>
      </c>
      <c r="AB8" s="27" t="s">
        <v>78</v>
      </c>
      <c r="AC8" s="28" t="e">
        <f>VLOOKUP("後"&amp;$B5&amp;AD$39,'１部対戦表'!$R$1:$U$141,2,FALSE)</f>
        <v>#N/A</v>
      </c>
      <c r="AD8" s="28" t="e">
        <f>IF(AC8&lt;&gt;"",IF(AC8&gt;AE8,"○",IF(AC8&lt;AE8,"●","△")),"")</f>
        <v>#N/A</v>
      </c>
      <c r="AE8" s="28" t="e">
        <f>VLOOKUP("後"&amp;$B5&amp;AD$39,'１部対戦表'!$R$1:$U$141,3,FALSE)</f>
        <v>#N/A</v>
      </c>
      <c r="AF8" s="29" t="s">
        <v>79</v>
      </c>
      <c r="AG8" s="27" t="s">
        <v>78</v>
      </c>
      <c r="AH8" s="28" t="e">
        <f>VLOOKUP("後"&amp;$B5&amp;AI$39,'１部対戦表'!$R$1:$U$141,2,FALSE)</f>
        <v>#N/A</v>
      </c>
      <c r="AI8" s="28" t="e">
        <f>IF(AH8&lt;&gt;"",IF(AH8&gt;AJ8,"○",IF(AH8&lt;AJ8,"●","△")),"")</f>
        <v>#N/A</v>
      </c>
      <c r="AJ8" s="28" t="e">
        <f>VLOOKUP("後"&amp;$B5&amp;AI$39,'１部対戦表'!$R$1:$U$141,3,FALSE)</f>
        <v>#N/A</v>
      </c>
      <c r="AK8" s="29" t="s">
        <v>79</v>
      </c>
      <c r="AL8" s="27" t="s">
        <v>78</v>
      </c>
      <c r="AM8" s="28" t="e">
        <f>VLOOKUP("後"&amp;$B5&amp;AN$39,'１部対戦表'!$R$1:$U$141,2,FALSE)</f>
        <v>#N/A</v>
      </c>
      <c r="AN8" s="28" t="e">
        <f>IF(AM8&lt;&gt;"",IF(AM8&gt;AO8,"○",IF(AM8&lt;AO8,"●","△")),"")</f>
        <v>#N/A</v>
      </c>
      <c r="AO8" s="28" t="e">
        <f>VLOOKUP("後"&amp;$B5&amp;AN$39,'１部対戦表'!$R$1:$U$141,3,FALSE)</f>
        <v>#N/A</v>
      </c>
      <c r="AP8" s="28" t="s">
        <v>79</v>
      </c>
      <c r="AQ8" s="154"/>
      <c r="AR8" s="183"/>
      <c r="AS8" s="183"/>
      <c r="AT8" s="173"/>
      <c r="AU8" s="165"/>
      <c r="AV8" s="165"/>
      <c r="AW8" s="174"/>
      <c r="AX8" s="152"/>
      <c r="BD8" s="65" t="e">
        <f>SUM(BK5:BR5)+SUM(BK7:BR7)</f>
        <v>#N/A</v>
      </c>
      <c r="BE8" s="65" t="e">
        <f>SUM(BK6:BR6)+SUM(BK8:BR8)</f>
        <v>#N/A</v>
      </c>
      <c r="BF8" s="47" t="e">
        <f>+BD8-BE8</f>
        <v>#N/A</v>
      </c>
      <c r="BG8" s="21"/>
      <c r="BH8" s="21"/>
      <c r="BI8" s="21"/>
      <c r="BJ8" s="21"/>
      <c r="BK8" s="54">
        <f>IF(F8&lt;&gt;"",F8,0)</f>
        <v>0</v>
      </c>
      <c r="BL8" s="54" t="e">
        <f>IF(K8&lt;&gt;"",K8,0)</f>
        <v>#N/A</v>
      </c>
      <c r="BM8" s="54" t="e">
        <f>IF(P8&lt;&gt;"",P8,0)</f>
        <v>#N/A</v>
      </c>
      <c r="BN8" s="54" t="e">
        <f>IF(U8&lt;&gt;"",U8,0)</f>
        <v>#N/A</v>
      </c>
      <c r="BO8" s="54" t="e">
        <f>IF(Z8&lt;&gt;"",Z8,0)</f>
        <v>#N/A</v>
      </c>
      <c r="BP8" s="54" t="e">
        <f>IF(AE8&lt;&gt;"",AE8,0)</f>
        <v>#N/A</v>
      </c>
      <c r="BQ8" s="54" t="e">
        <f>IF(AJ8&lt;&gt;"",AJ8,0)</f>
        <v>#N/A</v>
      </c>
      <c r="BR8" s="54" t="e">
        <f>IF(AO8&lt;&gt;"",AO8,0)</f>
        <v>#N/A</v>
      </c>
    </row>
    <row r="9" spans="2:70" ht="24" customHeight="1" thickBot="1">
      <c r="B9" s="58" t="str">
        <f>+AX59</f>
        <v>Ｂ</v>
      </c>
      <c r="C9" s="138">
        <f>VLOOKUP("前"&amp;$B9&amp;E$39,'１部対戦表'!$R$1:$U$141,4,FALSE)</f>
        <v>40399</v>
      </c>
      <c r="D9" s="139"/>
      <c r="E9" s="139"/>
      <c r="F9" s="139"/>
      <c r="G9" s="140"/>
      <c r="H9" s="141"/>
      <c r="I9" s="142"/>
      <c r="J9" s="142"/>
      <c r="K9" s="142"/>
      <c r="L9" s="143"/>
      <c r="M9" s="138">
        <f>VLOOKUP("前"&amp;$B9&amp;O$39,'１部対戦表'!$R$1:$U$141,4,FALSE)</f>
        <v>40392</v>
      </c>
      <c r="N9" s="139"/>
      <c r="O9" s="139"/>
      <c r="P9" s="139"/>
      <c r="Q9" s="140"/>
      <c r="R9" s="138">
        <f>VLOOKUP("前"&amp;$B9&amp;T$39,'１部対戦表'!$R$1:$U$141,4,FALSE)</f>
        <v>40379</v>
      </c>
      <c r="S9" s="139"/>
      <c r="T9" s="139"/>
      <c r="U9" s="139"/>
      <c r="V9" s="140"/>
      <c r="W9" s="138">
        <f>VLOOKUP("前"&amp;$B9&amp;Y$39,'１部対戦表'!$R$1:$U$141,4,FALSE)</f>
        <v>40350</v>
      </c>
      <c r="X9" s="139"/>
      <c r="Y9" s="139"/>
      <c r="Z9" s="139"/>
      <c r="AA9" s="140"/>
      <c r="AB9" s="138">
        <f>VLOOKUP("前"&amp;$B9&amp;AD$39,'１部対戦表'!$R$1:$U$141,4,FALSE)</f>
        <v>40364</v>
      </c>
      <c r="AC9" s="139"/>
      <c r="AD9" s="139"/>
      <c r="AE9" s="139"/>
      <c r="AF9" s="140"/>
      <c r="AG9" s="138">
        <f>VLOOKUP("前"&amp;$B9&amp;AI$39,'１部対戦表'!$R$1:$U$141,4,FALSE)</f>
        <v>40315</v>
      </c>
      <c r="AH9" s="139"/>
      <c r="AI9" s="139"/>
      <c r="AJ9" s="139"/>
      <c r="AK9" s="140"/>
      <c r="AL9" s="138">
        <f>VLOOKUP("前"&amp;$B9&amp;AN$39,'１部対戦表'!$R$1:$U$141,4,FALSE)</f>
        <v>40343</v>
      </c>
      <c r="AM9" s="139"/>
      <c r="AN9" s="139"/>
      <c r="AO9" s="139"/>
      <c r="AP9" s="140"/>
      <c r="AQ9" s="153">
        <f>IF(AND($BD10=0,$BE10=0,$BF10=0),"",BD10)</f>
      </c>
      <c r="AR9" s="169">
        <f>IF(AND($BD10=0,$BE10=0,$BF10=0),"",BE10)</f>
      </c>
      <c r="AS9" s="169">
        <f>IF(AND($BD10=0,$BE10=0,$BF10=0),"",BF10)</f>
      </c>
      <c r="AT9" s="171">
        <f>IF(AND($BD10=0,$BE10=0,$BF10=0),"",BG10+AZ10)</f>
      </c>
      <c r="AU9" s="180">
        <f>IF(AND($BD10=0,$BE10=0,$BF10=0),"",BD12)</f>
      </c>
      <c r="AV9" s="180">
        <f>IF(AND($BD10=0,$BE10=0,$BF10=0),"",BE12)</f>
      </c>
      <c r="AW9" s="177">
        <f>IF(AND($BD10=0,$BE10=0,$BF10=0),"",BF12)</f>
      </c>
      <c r="AX9" s="150">
        <f>IF(AND($BD10=0,$BE10=0,$BF10=0),"",RANK(BI11,BI$7:BI$35))</f>
      </c>
      <c r="BD9" s="57" t="s">
        <v>86</v>
      </c>
      <c r="BE9" s="57" t="s">
        <v>87</v>
      </c>
      <c r="BF9" s="57" t="s">
        <v>88</v>
      </c>
      <c r="BG9" s="57" t="s">
        <v>89</v>
      </c>
      <c r="BH9" s="20"/>
      <c r="BI9" s="20"/>
      <c r="BJ9" s="20"/>
      <c r="BK9" s="52">
        <f>IF(D10&lt;&gt;"",D10,0)</f>
        <v>0</v>
      </c>
      <c r="BL9" s="52">
        <f>IF(I10&lt;&gt;"",I10,0)</f>
        <v>0</v>
      </c>
      <c r="BM9" s="52">
        <f>IF(N10&lt;&gt;"",N10,0)</f>
        <v>0</v>
      </c>
      <c r="BN9" s="52">
        <f>IF(S10&lt;&gt;"",S10,0)</f>
        <v>0</v>
      </c>
      <c r="BO9" s="52">
        <f>IF(X10&lt;&gt;"",X10,0)</f>
        <v>0</v>
      </c>
      <c r="BP9" s="52">
        <f>IF(AC10&lt;&gt;"",AC10,0)</f>
        <v>0</v>
      </c>
      <c r="BQ9" s="52">
        <f>IF(AH10&lt;&gt;"",AH10,0)</f>
        <v>0</v>
      </c>
      <c r="BR9" s="52">
        <f>IF(AM10&lt;&gt;"",AM10,0)</f>
        <v>0</v>
      </c>
    </row>
    <row r="10" spans="2:70" ht="24" customHeight="1">
      <c r="B10" s="155" t="str">
        <f>VLOOKUP(B9,'参加チーム'!$B$5:$F$73,IF($AQ$3=1,3,4),FALSE)</f>
        <v>ｳﾞｫｽｸｵｰﾚ</v>
      </c>
      <c r="C10" s="30" t="s">
        <v>78</v>
      </c>
      <c r="D10" s="31">
        <f>VLOOKUP("前"&amp;$B9&amp;E$39,'１部対戦表'!$R$1:$U$141,2,FALSE)</f>
      </c>
      <c r="E10" s="31">
        <f>IF(D10&lt;&gt;"",IF(D10&gt;F10,"○",IF(D10&lt;F10,"●","△")),"")</f>
      </c>
      <c r="F10" s="31">
        <f>VLOOKUP("前"&amp;$B9&amp;E$39,'１部対戦表'!$R$1:$U$141,3,FALSE)</f>
      </c>
      <c r="G10" s="32" t="s">
        <v>79</v>
      </c>
      <c r="H10" s="144"/>
      <c r="I10" s="145"/>
      <c r="J10" s="145"/>
      <c r="K10" s="145"/>
      <c r="L10" s="146"/>
      <c r="M10" s="30" t="s">
        <v>78</v>
      </c>
      <c r="N10" s="31">
        <f>VLOOKUP("前"&amp;$B9&amp;O$39,'１部対戦表'!$R$1:$U$141,2,FALSE)</f>
      </c>
      <c r="O10" s="31">
        <f>IF(N10&lt;&gt;"",IF(N10&gt;P10,"○",IF(N10&lt;P10,"●","△")),"")</f>
      </c>
      <c r="P10" s="31">
        <f>VLOOKUP("前"&amp;$B9&amp;O$39,'１部対戦表'!$R$1:$U$141,3,FALSE)</f>
      </c>
      <c r="Q10" s="32" t="s">
        <v>79</v>
      </c>
      <c r="R10" s="30" t="s">
        <v>78</v>
      </c>
      <c r="S10" s="31">
        <f>VLOOKUP("前"&amp;$B9&amp;T$39,'１部対戦表'!$R$1:$U$141,2,FALSE)</f>
      </c>
      <c r="T10" s="31">
        <f>IF(S10&lt;&gt;"",IF(S10&gt;U10,"○",IF(S10&lt;U10,"●","△")),"")</f>
      </c>
      <c r="U10" s="31">
        <f>VLOOKUP("前"&amp;$B9&amp;T$39,'１部対戦表'!$R$1:$U$141,3,FALSE)</f>
      </c>
      <c r="V10" s="32" t="s">
        <v>79</v>
      </c>
      <c r="W10" s="30" t="s">
        <v>78</v>
      </c>
      <c r="X10" s="31">
        <f>VLOOKUP("前"&amp;$B9&amp;Y$39,'１部対戦表'!$R$1:$U$141,2,FALSE)</f>
      </c>
      <c r="Y10" s="31">
        <f>IF(X10&lt;&gt;"",IF(X10&gt;Z10,"○",IF(X10&lt;Z10,"●","△")),"")</f>
      </c>
      <c r="Z10" s="31">
        <f>VLOOKUP("前"&amp;$B9&amp;Y$39,'１部対戦表'!$R$1:$U$141,3,FALSE)</f>
      </c>
      <c r="AA10" s="32" t="s">
        <v>79</v>
      </c>
      <c r="AB10" s="30" t="s">
        <v>78</v>
      </c>
      <c r="AC10" s="31">
        <f>VLOOKUP("前"&amp;$B9&amp;AD$39,'１部対戦表'!$R$1:$U$141,2,FALSE)</f>
      </c>
      <c r="AD10" s="31">
        <f>IF(AC10&lt;&gt;"",IF(AC10&gt;AE10,"○",IF(AC10&lt;AE10,"●","△")),"")</f>
      </c>
      <c r="AE10" s="31">
        <f>VLOOKUP("前"&amp;$B9&amp;AD$39,'１部対戦表'!$R$1:$U$141,3,FALSE)</f>
      </c>
      <c r="AF10" s="32" t="s">
        <v>79</v>
      </c>
      <c r="AG10" s="30" t="s">
        <v>78</v>
      </c>
      <c r="AH10" s="31">
        <f>VLOOKUP("前"&amp;$B9&amp;AI$39,'１部対戦表'!$R$1:$U$141,2,FALSE)</f>
      </c>
      <c r="AI10" s="31">
        <f>IF(AH10&lt;&gt;"",IF(AH10&gt;AJ10,"○",IF(AH10&lt;AJ10,"●","△")),"")</f>
      </c>
      <c r="AJ10" s="31">
        <f>VLOOKUP("前"&amp;$B9&amp;AI$39,'１部対戦表'!$R$1:$U$141,3,FALSE)</f>
      </c>
      <c r="AK10" s="32" t="s">
        <v>79</v>
      </c>
      <c r="AL10" s="30" t="s">
        <v>78</v>
      </c>
      <c r="AM10" s="31">
        <f>VLOOKUP("前"&amp;$B9&amp;AN$39,'１部対戦表'!$R$1:$U$141,2,FALSE)</f>
      </c>
      <c r="AN10" s="31">
        <f>IF(AM10&lt;&gt;"",IF(AM10&gt;AO10,"○",IF(AM10&lt;AO10,"●","△")),"")</f>
      </c>
      <c r="AO10" s="31">
        <f>VLOOKUP("前"&amp;$B9&amp;AN$39,'１部対戦表'!$R$1:$U$141,3,FALSE)</f>
      </c>
      <c r="AP10" s="32" t="s">
        <v>79</v>
      </c>
      <c r="AQ10" s="153"/>
      <c r="AR10" s="169"/>
      <c r="AS10" s="169"/>
      <c r="AT10" s="172"/>
      <c r="AU10" s="181"/>
      <c r="AV10" s="181"/>
      <c r="AW10" s="178"/>
      <c r="AX10" s="151"/>
      <c r="AZ10" s="158"/>
      <c r="BA10" s="51"/>
      <c r="BB10" s="124" t="s">
        <v>176</v>
      </c>
      <c r="BC10" s="51"/>
      <c r="BD10" s="22">
        <f>COUNTIF($C9:$AP12,"○")</f>
        <v>0</v>
      </c>
      <c r="BE10" s="22">
        <f>COUNTIF($C9:$AP12,"△")</f>
        <v>0</v>
      </c>
      <c r="BF10" s="22">
        <f>COUNTIF($C9:$AP12,"●")</f>
        <v>0</v>
      </c>
      <c r="BG10" s="57">
        <f>BD10*3+BE10</f>
        <v>0</v>
      </c>
      <c r="BH10" s="20"/>
      <c r="BI10" s="20"/>
      <c r="BJ10" s="20"/>
      <c r="BK10" s="53">
        <f>IF(F10&lt;&gt;"",F10,0)</f>
        <v>0</v>
      </c>
      <c r="BL10" s="53">
        <f>IF(K10&lt;&gt;"",K10,0)</f>
        <v>0</v>
      </c>
      <c r="BM10" s="53">
        <f>IF(P10&lt;&gt;"",P10,0)</f>
        <v>0</v>
      </c>
      <c r="BN10" s="53">
        <f>IF(U10&lt;&gt;"",U10,0)</f>
        <v>0</v>
      </c>
      <c r="BO10" s="53">
        <f>IF(Z10&lt;&gt;"",Z10,0)</f>
        <v>0</v>
      </c>
      <c r="BP10" s="53">
        <f>IF(AE10&lt;&gt;"",AE10,0)</f>
        <v>0</v>
      </c>
      <c r="BQ10" s="53">
        <f>IF(AJ10&lt;&gt;"",AJ10,0)</f>
        <v>0</v>
      </c>
      <c r="BR10" s="53">
        <f>IF(AO10&lt;&gt;"",AO10,0)</f>
        <v>0</v>
      </c>
    </row>
    <row r="11" spans="2:70" ht="24" customHeight="1" thickBot="1">
      <c r="B11" s="155"/>
      <c r="C11" s="135" t="e">
        <f>VLOOKUP("後"&amp;$B9&amp;E$39,'１部対戦表'!$R$1:$U$141,4,FALSE)</f>
        <v>#N/A</v>
      </c>
      <c r="D11" s="136"/>
      <c r="E11" s="136"/>
      <c r="F11" s="136"/>
      <c r="G11" s="137"/>
      <c r="H11" s="144"/>
      <c r="I11" s="145"/>
      <c r="J11" s="145"/>
      <c r="K11" s="145"/>
      <c r="L11" s="146"/>
      <c r="M11" s="135" t="e">
        <f>VLOOKUP("後"&amp;$B9&amp;O$39,'１部対戦表'!$R$1:$U$141,4,FALSE)</f>
        <v>#N/A</v>
      </c>
      <c r="N11" s="136"/>
      <c r="O11" s="136"/>
      <c r="P11" s="136"/>
      <c r="Q11" s="137"/>
      <c r="R11" s="135" t="e">
        <f>VLOOKUP("後"&amp;$B9&amp;T$39,'１部対戦表'!$R$1:$U$141,4,FALSE)</f>
        <v>#N/A</v>
      </c>
      <c r="S11" s="136"/>
      <c r="T11" s="136"/>
      <c r="U11" s="136"/>
      <c r="V11" s="137"/>
      <c r="W11" s="135" t="e">
        <f>VLOOKUP("後"&amp;$B9&amp;Y$39,'１部対戦表'!$R$1:$U$141,4,FALSE)</f>
        <v>#N/A</v>
      </c>
      <c r="X11" s="136"/>
      <c r="Y11" s="136"/>
      <c r="Z11" s="136"/>
      <c r="AA11" s="137"/>
      <c r="AB11" s="135" t="e">
        <f>VLOOKUP("後"&amp;$B9&amp;AD$39,'１部対戦表'!$R$1:$U$141,4,FALSE)</f>
        <v>#N/A</v>
      </c>
      <c r="AC11" s="136"/>
      <c r="AD11" s="136"/>
      <c r="AE11" s="136"/>
      <c r="AF11" s="137"/>
      <c r="AG11" s="135" t="e">
        <f>VLOOKUP("後"&amp;$B9&amp;AI$39,'１部対戦表'!$R$1:$U$141,4,FALSE)</f>
        <v>#N/A</v>
      </c>
      <c r="AH11" s="136"/>
      <c r="AI11" s="136"/>
      <c r="AJ11" s="136"/>
      <c r="AK11" s="137"/>
      <c r="AL11" s="135" t="e">
        <f>VLOOKUP("後"&amp;$B9&amp;AN$39,'１部対戦表'!$R$1:$U$141,4,FALSE)</f>
        <v>#N/A</v>
      </c>
      <c r="AM11" s="136"/>
      <c r="AN11" s="136"/>
      <c r="AO11" s="136"/>
      <c r="AP11" s="137"/>
      <c r="AQ11" s="153"/>
      <c r="AR11" s="169"/>
      <c r="AS11" s="169"/>
      <c r="AT11" s="172"/>
      <c r="AU11" s="181"/>
      <c r="AV11" s="181"/>
      <c r="AW11" s="178"/>
      <c r="AX11" s="151"/>
      <c r="AZ11" s="159"/>
      <c r="BA11" s="51"/>
      <c r="BB11" s="125"/>
      <c r="BC11" s="51"/>
      <c r="BD11" s="65" t="s">
        <v>90</v>
      </c>
      <c r="BE11" s="65" t="s">
        <v>91</v>
      </c>
      <c r="BF11" s="65" t="s">
        <v>92</v>
      </c>
      <c r="BG11" s="21"/>
      <c r="BH11" s="21" t="s">
        <v>98</v>
      </c>
      <c r="BI11" s="55">
        <f>IF(AND(BD10=0,BE10=0,BF10=0),0,+AT9*1000+AW9)</f>
        <v>0</v>
      </c>
      <c r="BJ11" s="56"/>
      <c r="BK11" s="53" t="e">
        <f>IF(D12&lt;&gt;"",D12,0)</f>
        <v>#N/A</v>
      </c>
      <c r="BL11" s="53">
        <f>IF(I12&lt;&gt;"",I12,0)</f>
        <v>0</v>
      </c>
      <c r="BM11" s="53" t="e">
        <f>IF(N12&lt;&gt;"",N12,0)</f>
        <v>#N/A</v>
      </c>
      <c r="BN11" s="53" t="e">
        <f>IF(S12&lt;&gt;"",S12,0)</f>
        <v>#N/A</v>
      </c>
      <c r="BO11" s="53" t="e">
        <f>IF(X12&lt;&gt;"",X12,0)</f>
        <v>#N/A</v>
      </c>
      <c r="BP11" s="53" t="e">
        <f>IF(AC12&lt;&gt;"",AC12,0)</f>
        <v>#N/A</v>
      </c>
      <c r="BQ11" s="53" t="e">
        <f>IF(AH12&lt;&gt;"",AH12,0)</f>
        <v>#N/A</v>
      </c>
      <c r="BR11" s="53" t="e">
        <f>IF(AM12&lt;&gt;"",AM12,0)</f>
        <v>#N/A</v>
      </c>
    </row>
    <row r="12" spans="2:70" ht="24" customHeight="1">
      <c r="B12" s="190"/>
      <c r="C12" s="27" t="s">
        <v>78</v>
      </c>
      <c r="D12" s="28" t="e">
        <f>VLOOKUP("後"&amp;$B9&amp;E$39,'１部対戦表'!$R$1:$U$141,2,FALSE)</f>
        <v>#N/A</v>
      </c>
      <c r="E12" s="28" t="e">
        <f>IF(D12&lt;&gt;"",IF(D12&gt;F12,"○",IF(D12&lt;F12,"●","△")),"")</f>
        <v>#N/A</v>
      </c>
      <c r="F12" s="28" t="e">
        <f>VLOOKUP("後"&amp;$B9&amp;E$39,'１部対戦表'!$R$1:$U$141,3,FALSE)</f>
        <v>#N/A</v>
      </c>
      <c r="G12" s="29" t="s">
        <v>79</v>
      </c>
      <c r="H12" s="147"/>
      <c r="I12" s="148"/>
      <c r="J12" s="148"/>
      <c r="K12" s="148"/>
      <c r="L12" s="149"/>
      <c r="M12" s="27" t="s">
        <v>78</v>
      </c>
      <c r="N12" s="28" t="e">
        <f>VLOOKUP("後"&amp;$B9&amp;O$39,'１部対戦表'!$R$1:$U$141,2,FALSE)</f>
        <v>#N/A</v>
      </c>
      <c r="O12" s="28" t="e">
        <f>IF(N12&lt;&gt;"",IF(N12&gt;P12,"○",IF(N12&lt;P12,"●","△")),"")</f>
        <v>#N/A</v>
      </c>
      <c r="P12" s="28" t="e">
        <f>VLOOKUP("後"&amp;$B9&amp;O$39,'１部対戦表'!$R$1:$U$141,3,FALSE)</f>
        <v>#N/A</v>
      </c>
      <c r="Q12" s="29" t="s">
        <v>79</v>
      </c>
      <c r="R12" s="27" t="s">
        <v>78</v>
      </c>
      <c r="S12" s="28" t="e">
        <f>VLOOKUP("後"&amp;$B9&amp;T$39,'１部対戦表'!$R$1:$U$141,2,FALSE)</f>
        <v>#N/A</v>
      </c>
      <c r="T12" s="28" t="e">
        <f>IF(S12&lt;&gt;"",IF(S12&gt;U12,"○",IF(S12&lt;U12,"●","△")),"")</f>
        <v>#N/A</v>
      </c>
      <c r="U12" s="28" t="e">
        <f>VLOOKUP("後"&amp;$B9&amp;T$39,'１部対戦表'!$R$1:$U$141,3,FALSE)</f>
        <v>#N/A</v>
      </c>
      <c r="V12" s="29" t="s">
        <v>79</v>
      </c>
      <c r="W12" s="27" t="s">
        <v>78</v>
      </c>
      <c r="X12" s="28" t="e">
        <f>VLOOKUP("後"&amp;$B9&amp;Y$39,'１部対戦表'!$R$1:$U$141,2,FALSE)</f>
        <v>#N/A</v>
      </c>
      <c r="Y12" s="28" t="e">
        <f>IF(X12&lt;&gt;"",IF(X12&gt;Z12,"○",IF(X12&lt;Z12,"●","△")),"")</f>
        <v>#N/A</v>
      </c>
      <c r="Z12" s="28" t="e">
        <f>VLOOKUP("後"&amp;$B9&amp;Y$39,'１部対戦表'!$R$1:$U$141,3,FALSE)</f>
        <v>#N/A</v>
      </c>
      <c r="AA12" s="29" t="s">
        <v>79</v>
      </c>
      <c r="AB12" s="27" t="s">
        <v>78</v>
      </c>
      <c r="AC12" s="28" t="e">
        <f>VLOOKUP("後"&amp;$B9&amp;AD$39,'１部対戦表'!$R$1:$U$141,2,FALSE)</f>
        <v>#N/A</v>
      </c>
      <c r="AD12" s="28" t="e">
        <f>IF(AC12&lt;&gt;"",IF(AC12&gt;AE12,"○",IF(AC12&lt;AE12,"●","△")),"")</f>
        <v>#N/A</v>
      </c>
      <c r="AE12" s="28" t="e">
        <f>VLOOKUP("後"&amp;$B9&amp;AD$39,'１部対戦表'!$R$1:$U$141,3,FALSE)</f>
        <v>#N/A</v>
      </c>
      <c r="AF12" s="29" t="s">
        <v>79</v>
      </c>
      <c r="AG12" s="27" t="s">
        <v>78</v>
      </c>
      <c r="AH12" s="28" t="e">
        <f>VLOOKUP("後"&amp;$B9&amp;AI$39,'１部対戦表'!$R$1:$U$141,2,FALSE)</f>
        <v>#N/A</v>
      </c>
      <c r="AI12" s="28" t="e">
        <f>IF(AH12&lt;&gt;"",IF(AH12&gt;AJ12,"○",IF(AH12&lt;AJ12,"●","△")),"")</f>
        <v>#N/A</v>
      </c>
      <c r="AJ12" s="28" t="e">
        <f>VLOOKUP("後"&amp;$B9&amp;AI$39,'１部対戦表'!$R$1:$U$141,3,FALSE)</f>
        <v>#N/A</v>
      </c>
      <c r="AK12" s="29" t="s">
        <v>79</v>
      </c>
      <c r="AL12" s="27" t="s">
        <v>78</v>
      </c>
      <c r="AM12" s="28" t="e">
        <f>VLOOKUP("後"&amp;$B9&amp;AN$39,'１部対戦表'!$R$1:$U$141,2,FALSE)</f>
        <v>#N/A</v>
      </c>
      <c r="AN12" s="28" t="e">
        <f>IF(AM12&lt;&gt;"",IF(AM12&gt;AO12,"○",IF(AM12&lt;AO12,"●","△")),"")</f>
        <v>#N/A</v>
      </c>
      <c r="AO12" s="28" t="e">
        <f>VLOOKUP("後"&amp;$B9&amp;AN$39,'１部対戦表'!$R$1:$U$141,3,FALSE)</f>
        <v>#N/A</v>
      </c>
      <c r="AP12" s="29" t="s">
        <v>79</v>
      </c>
      <c r="AQ12" s="154"/>
      <c r="AR12" s="183"/>
      <c r="AS12" s="183"/>
      <c r="AT12" s="173"/>
      <c r="AU12" s="182"/>
      <c r="AV12" s="182"/>
      <c r="AW12" s="179"/>
      <c r="AX12" s="152"/>
      <c r="BD12" s="65" t="e">
        <f>SUM(BK9:BR9)+SUM(BK11:BR11)</f>
        <v>#N/A</v>
      </c>
      <c r="BE12" s="65" t="e">
        <f>SUM(BK10:BR10)+SUM(BK12:BR12)</f>
        <v>#N/A</v>
      </c>
      <c r="BF12" s="47" t="e">
        <f>+BD12-BE12</f>
        <v>#N/A</v>
      </c>
      <c r="BG12" s="21"/>
      <c r="BH12" s="21"/>
      <c r="BI12" s="21"/>
      <c r="BJ12" s="21"/>
      <c r="BK12" s="54" t="e">
        <f>IF(F12&lt;&gt;"",F12,0)</f>
        <v>#N/A</v>
      </c>
      <c r="BL12" s="54">
        <f>IF(K12&lt;&gt;"",K12,0)</f>
        <v>0</v>
      </c>
      <c r="BM12" s="54" t="e">
        <f>IF(P12&lt;&gt;"",P12,0)</f>
        <v>#N/A</v>
      </c>
      <c r="BN12" s="54" t="e">
        <f>IF(U12&lt;&gt;"",U12,0)</f>
        <v>#N/A</v>
      </c>
      <c r="BO12" s="54" t="e">
        <f>IF(Z12&lt;&gt;"",Z12,0)</f>
        <v>#N/A</v>
      </c>
      <c r="BP12" s="54" t="e">
        <f>IF(AE12&lt;&gt;"",AE12,0)</f>
        <v>#N/A</v>
      </c>
      <c r="BQ12" s="54" t="e">
        <f>IF(AJ12&lt;&gt;"",AJ12,0)</f>
        <v>#N/A</v>
      </c>
      <c r="BR12" s="54" t="e">
        <f>IF(AO12&lt;&gt;"",AO12,0)</f>
        <v>#N/A</v>
      </c>
    </row>
    <row r="13" spans="2:70" ht="24" customHeight="1" thickBot="1">
      <c r="B13" s="59" t="str">
        <f>+AX60</f>
        <v>Ｃ</v>
      </c>
      <c r="C13" s="138">
        <f>VLOOKUP("前"&amp;$B13&amp;E$39,'１部対戦表'!$R$1:$U$141,4,FALSE)</f>
        <v>40379</v>
      </c>
      <c r="D13" s="139"/>
      <c r="E13" s="139"/>
      <c r="F13" s="139"/>
      <c r="G13" s="140"/>
      <c r="H13" s="138">
        <f>VLOOKUP("前"&amp;$B13&amp;J$39,'１部対戦表'!$R$1:$U$141,4,FALSE)</f>
        <v>40392</v>
      </c>
      <c r="I13" s="139"/>
      <c r="J13" s="139"/>
      <c r="K13" s="139"/>
      <c r="L13" s="140"/>
      <c r="M13" s="141"/>
      <c r="N13" s="142"/>
      <c r="O13" s="142"/>
      <c r="P13" s="142"/>
      <c r="Q13" s="143"/>
      <c r="R13" s="138">
        <f>VLOOKUP("前"&amp;$B13&amp;T$39,'１部対戦表'!$R$1:$U$141,4,FALSE)</f>
        <v>40364</v>
      </c>
      <c r="S13" s="139"/>
      <c r="T13" s="139"/>
      <c r="U13" s="139"/>
      <c r="V13" s="140"/>
      <c r="W13" s="138">
        <f>VLOOKUP("前"&amp;$B13&amp;Y$39,'１部対戦表'!$R$1:$U$141,4,FALSE)</f>
        <v>40343</v>
      </c>
      <c r="X13" s="139"/>
      <c r="Y13" s="139"/>
      <c r="Z13" s="139"/>
      <c r="AA13" s="140"/>
      <c r="AB13" s="138">
        <f>VLOOKUP("前"&amp;$B13&amp;AD$39,'１部対戦表'!$R$1:$U$141,4,FALSE)</f>
        <v>40315</v>
      </c>
      <c r="AC13" s="139"/>
      <c r="AD13" s="139"/>
      <c r="AE13" s="139"/>
      <c r="AF13" s="140"/>
      <c r="AG13" s="138">
        <f>VLOOKUP("前"&amp;$B13&amp;AI$39,'１部対戦表'!$R$1:$U$141,4,FALSE)</f>
        <v>40399</v>
      </c>
      <c r="AH13" s="139"/>
      <c r="AI13" s="139"/>
      <c r="AJ13" s="139"/>
      <c r="AK13" s="140"/>
      <c r="AL13" s="138">
        <f>VLOOKUP("前"&amp;$B13&amp;AN$39,'１部対戦表'!$R$1:$U$141,4,FALSE)</f>
        <v>40350</v>
      </c>
      <c r="AM13" s="139"/>
      <c r="AN13" s="139"/>
      <c r="AO13" s="139"/>
      <c r="AP13" s="140"/>
      <c r="AQ13" s="153">
        <f>IF(AND($BD14=0,$BE14=0,$BF14=0),"",BD14)</f>
      </c>
      <c r="AR13" s="169">
        <f>IF(AND($BD14=0,$BE14=0,$BF14=0),"",BE14)</f>
      </c>
      <c r="AS13" s="169">
        <f>IF(AND($BD14=0,$BE14=0,$BF14=0),"",BF14)</f>
      </c>
      <c r="AT13" s="171">
        <f>IF(AND($BD14=0,$BE14=0,$BF14=0),"",BG14+AZ14)</f>
      </c>
      <c r="AU13" s="180">
        <f>IF(AND($BD14=0,$BE14=0,$BF14=0),"",BD16)</f>
      </c>
      <c r="AV13" s="180">
        <f>IF(AND($BD14=0,$BE14=0,$BF14=0),"",BE16)</f>
      </c>
      <c r="AW13" s="177">
        <f>IF(AND($BD14=0,$BE14=0,$BF14=0),"",BF16)</f>
      </c>
      <c r="AX13" s="150">
        <f>IF(AND($BD14=0,$BE14=0,$BF14=0),"",RANK(BI15,BI$7:BI$35))</f>
      </c>
      <c r="BD13" s="57" t="s">
        <v>86</v>
      </c>
      <c r="BE13" s="57" t="s">
        <v>87</v>
      </c>
      <c r="BF13" s="57" t="s">
        <v>88</v>
      </c>
      <c r="BG13" s="57" t="s">
        <v>89</v>
      </c>
      <c r="BH13" s="20"/>
      <c r="BI13" s="20"/>
      <c r="BJ13" s="20"/>
      <c r="BK13" s="52">
        <f>IF(D14&lt;&gt;"",D14,0)</f>
        <v>0</v>
      </c>
      <c r="BL13" s="52">
        <f>IF(I14&lt;&gt;"",I14,0)</f>
        <v>0</v>
      </c>
      <c r="BM13" s="52">
        <f>IF(N14&lt;&gt;"",N14,0)</f>
        <v>0</v>
      </c>
      <c r="BN13" s="52">
        <f>IF(S14&lt;&gt;"",S14,0)</f>
        <v>0</v>
      </c>
      <c r="BO13" s="52">
        <f>IF(X14&lt;&gt;"",X14,0)</f>
        <v>0</v>
      </c>
      <c r="BP13" s="52">
        <f>IF(AC14&lt;&gt;"",AC14,0)</f>
        <v>0</v>
      </c>
      <c r="BQ13" s="52">
        <f>IF(AH14&lt;&gt;"",AH14,0)</f>
        <v>0</v>
      </c>
      <c r="BR13" s="52">
        <f>IF(AM14&lt;&gt;"",AM14,0)</f>
        <v>0</v>
      </c>
    </row>
    <row r="14" spans="2:70" ht="24" customHeight="1">
      <c r="B14" s="155" t="str">
        <f>VLOOKUP(B13,'参加チーム'!$B$5:$F$73,IF($AQ$3=1,3,4),FALSE)</f>
        <v>かちかち山</v>
      </c>
      <c r="C14" s="30" t="s">
        <v>78</v>
      </c>
      <c r="D14" s="31">
        <f>VLOOKUP("前"&amp;$B13&amp;E$39,'１部対戦表'!$R$1:$U$141,2,FALSE)</f>
      </c>
      <c r="E14" s="31">
        <f>IF(D14&lt;&gt;"",IF(D14&gt;F14,"○",IF(D14&lt;F14,"●","△")),"")</f>
      </c>
      <c r="F14" s="31">
        <f>VLOOKUP("前"&amp;$B13&amp;E$39,'１部対戦表'!$R$1:$U$141,3,FALSE)</f>
      </c>
      <c r="G14" s="32" t="s">
        <v>79</v>
      </c>
      <c r="H14" s="30" t="s">
        <v>78</v>
      </c>
      <c r="I14" s="31">
        <f>VLOOKUP("前"&amp;$B13&amp;J$39,'１部対戦表'!$R$1:$U$141,2,FALSE)</f>
      </c>
      <c r="J14" s="31">
        <f>IF(I14&lt;&gt;"",IF(I14&gt;K14,"○",IF(I14&lt;K14,"●","△")),"")</f>
      </c>
      <c r="K14" s="31">
        <f>VLOOKUP("前"&amp;$B13&amp;J$39,'１部対戦表'!$R$1:$U$141,3,FALSE)</f>
      </c>
      <c r="L14" s="32" t="s">
        <v>79</v>
      </c>
      <c r="M14" s="144"/>
      <c r="N14" s="145"/>
      <c r="O14" s="145"/>
      <c r="P14" s="145"/>
      <c r="Q14" s="146"/>
      <c r="R14" s="30" t="s">
        <v>78</v>
      </c>
      <c r="S14" s="31">
        <f>VLOOKUP("前"&amp;$B13&amp;T$39,'１部対戦表'!$R$1:$U$141,2,FALSE)</f>
      </c>
      <c r="T14" s="31">
        <f>IF(S14&lt;&gt;"",IF(S14&gt;U14,"○",IF(S14&lt;U14,"●","△")),"")</f>
      </c>
      <c r="U14" s="31">
        <f>VLOOKUP("前"&amp;$B13&amp;T$39,'１部対戦表'!$R$1:$U$141,3,FALSE)</f>
      </c>
      <c r="V14" s="32" t="s">
        <v>79</v>
      </c>
      <c r="W14" s="30" t="s">
        <v>78</v>
      </c>
      <c r="X14" s="31">
        <f>VLOOKUP("前"&amp;$B13&amp;Y$39,'１部対戦表'!$R$1:$U$141,2,FALSE)</f>
      </c>
      <c r="Y14" s="31">
        <f>IF(X14&lt;&gt;"",IF(X14&gt;Z14,"○",IF(X14&lt;Z14,"●","△")),"")</f>
      </c>
      <c r="Z14" s="31">
        <f>VLOOKUP("前"&amp;$B13&amp;Y$39,'１部対戦表'!$R$1:$U$141,3,FALSE)</f>
      </c>
      <c r="AA14" s="32" t="s">
        <v>79</v>
      </c>
      <c r="AB14" s="30" t="s">
        <v>78</v>
      </c>
      <c r="AC14" s="31">
        <f>VLOOKUP("前"&amp;$B13&amp;AD$39,'１部対戦表'!$R$1:$U$141,2,FALSE)</f>
      </c>
      <c r="AD14" s="31">
        <f>IF(AC14&lt;&gt;"",IF(AC14&gt;AE14,"○",IF(AC14&lt;AE14,"●","△")),"")</f>
      </c>
      <c r="AE14" s="31">
        <f>VLOOKUP("前"&amp;$B13&amp;AD$39,'１部対戦表'!$R$1:$U$141,3,FALSE)</f>
      </c>
      <c r="AF14" s="32" t="s">
        <v>79</v>
      </c>
      <c r="AG14" s="30" t="s">
        <v>78</v>
      </c>
      <c r="AH14" s="31">
        <f>VLOOKUP("前"&amp;$B13&amp;AI$39,'１部対戦表'!$R$1:$U$141,2,FALSE)</f>
      </c>
      <c r="AI14" s="31">
        <f>IF(AH14&lt;&gt;"",IF(AH14&gt;AJ14,"○",IF(AH14&lt;AJ14,"●","△")),"")</f>
      </c>
      <c r="AJ14" s="31">
        <f>VLOOKUP("前"&amp;$B13&amp;AI$39,'１部対戦表'!$R$1:$U$141,3,FALSE)</f>
      </c>
      <c r="AK14" s="32" t="s">
        <v>79</v>
      </c>
      <c r="AL14" s="30" t="s">
        <v>78</v>
      </c>
      <c r="AM14" s="31">
        <f>VLOOKUP("前"&amp;$B13&amp;AN$39,'１部対戦表'!$R$1:$U$141,2,FALSE)</f>
      </c>
      <c r="AN14" s="31">
        <f>IF(AM14&lt;&gt;"",IF(AM14&gt;AO14,"○",IF(AM14&lt;AO14,"●","△")),"")</f>
      </c>
      <c r="AO14" s="31">
        <f>VLOOKUP("前"&amp;$B13&amp;AN$39,'１部対戦表'!$R$1:$U$141,3,FALSE)</f>
      </c>
      <c r="AP14" s="32" t="s">
        <v>79</v>
      </c>
      <c r="AQ14" s="153"/>
      <c r="AR14" s="169"/>
      <c r="AS14" s="169"/>
      <c r="AT14" s="172"/>
      <c r="AU14" s="181"/>
      <c r="AV14" s="181"/>
      <c r="AW14" s="178"/>
      <c r="AX14" s="151"/>
      <c r="AZ14" s="158"/>
      <c r="BA14" s="51"/>
      <c r="BB14" s="124" t="s">
        <v>176</v>
      </c>
      <c r="BC14" s="51"/>
      <c r="BD14" s="22">
        <f>COUNTIF($C13:$AP16,"○")</f>
        <v>0</v>
      </c>
      <c r="BE14" s="22">
        <f>COUNTIF($C13:$AP16,"△")</f>
        <v>0</v>
      </c>
      <c r="BF14" s="22">
        <f>COUNTIF($C13:$AP16,"●")</f>
        <v>0</v>
      </c>
      <c r="BG14" s="57">
        <f>BD14*3+BE14</f>
        <v>0</v>
      </c>
      <c r="BH14" s="20"/>
      <c r="BI14" s="20"/>
      <c r="BJ14" s="20"/>
      <c r="BK14" s="53">
        <f>IF(F14&lt;&gt;"",F14,0)</f>
        <v>0</v>
      </c>
      <c r="BL14" s="53">
        <f>IF(K14&lt;&gt;"",K14,0)</f>
        <v>0</v>
      </c>
      <c r="BM14" s="53">
        <f>IF(P14&lt;&gt;"",P14,0)</f>
        <v>0</v>
      </c>
      <c r="BN14" s="53">
        <f>IF(U14&lt;&gt;"",U14,0)</f>
        <v>0</v>
      </c>
      <c r="BO14" s="53">
        <f>IF(Z14&lt;&gt;"",Z14,0)</f>
        <v>0</v>
      </c>
      <c r="BP14" s="53">
        <f>IF(AE14&lt;&gt;"",AE14,0)</f>
        <v>0</v>
      </c>
      <c r="BQ14" s="53">
        <f>IF(AJ14&lt;&gt;"",AJ14,0)</f>
        <v>0</v>
      </c>
      <c r="BR14" s="53">
        <f>IF(AO14&lt;&gt;"",AO14,0)</f>
        <v>0</v>
      </c>
    </row>
    <row r="15" spans="2:70" ht="24" customHeight="1" thickBot="1">
      <c r="B15" s="155"/>
      <c r="C15" s="135" t="e">
        <f>VLOOKUP("後"&amp;$B13&amp;E$39,'１部対戦表'!$R$1:$U$141,4,FALSE)</f>
        <v>#N/A</v>
      </c>
      <c r="D15" s="136"/>
      <c r="E15" s="136"/>
      <c r="F15" s="136"/>
      <c r="G15" s="137"/>
      <c r="H15" s="135" t="e">
        <f>VLOOKUP("後"&amp;$B13&amp;J$39,'１部対戦表'!$R$1:$U$141,4,FALSE)</f>
        <v>#N/A</v>
      </c>
      <c r="I15" s="136"/>
      <c r="J15" s="136"/>
      <c r="K15" s="136"/>
      <c r="L15" s="137"/>
      <c r="M15" s="144"/>
      <c r="N15" s="145"/>
      <c r="O15" s="145"/>
      <c r="P15" s="145"/>
      <c r="Q15" s="146"/>
      <c r="R15" s="135" t="e">
        <f>VLOOKUP("後"&amp;$B13&amp;T$39,'１部対戦表'!$R$1:$U$141,4,FALSE)</f>
        <v>#N/A</v>
      </c>
      <c r="S15" s="136"/>
      <c r="T15" s="136"/>
      <c r="U15" s="136"/>
      <c r="V15" s="137"/>
      <c r="W15" s="135" t="e">
        <f>VLOOKUP("後"&amp;$B13&amp;Y$39,'１部対戦表'!$R$1:$U$141,4,FALSE)</f>
        <v>#N/A</v>
      </c>
      <c r="X15" s="136"/>
      <c r="Y15" s="136"/>
      <c r="Z15" s="136"/>
      <c r="AA15" s="137"/>
      <c r="AB15" s="135" t="e">
        <f>VLOOKUP("後"&amp;$B13&amp;AD$39,'１部対戦表'!$R$1:$U$141,4,FALSE)</f>
        <v>#N/A</v>
      </c>
      <c r="AC15" s="136"/>
      <c r="AD15" s="136"/>
      <c r="AE15" s="136"/>
      <c r="AF15" s="137"/>
      <c r="AG15" s="135" t="e">
        <f>VLOOKUP("後"&amp;$B13&amp;AI$39,'１部対戦表'!$R$1:$U$141,4,FALSE)</f>
        <v>#N/A</v>
      </c>
      <c r="AH15" s="136"/>
      <c r="AI15" s="136"/>
      <c r="AJ15" s="136"/>
      <c r="AK15" s="137"/>
      <c r="AL15" s="135" t="e">
        <f>VLOOKUP("後"&amp;$B13&amp;AN$39,'１部対戦表'!$R$1:$U$141,4,FALSE)</f>
        <v>#N/A</v>
      </c>
      <c r="AM15" s="136"/>
      <c r="AN15" s="136"/>
      <c r="AO15" s="136"/>
      <c r="AP15" s="137"/>
      <c r="AQ15" s="153"/>
      <c r="AR15" s="169"/>
      <c r="AS15" s="169"/>
      <c r="AT15" s="172"/>
      <c r="AU15" s="181"/>
      <c r="AV15" s="181"/>
      <c r="AW15" s="178"/>
      <c r="AX15" s="151"/>
      <c r="AZ15" s="159"/>
      <c r="BA15" s="51"/>
      <c r="BB15" s="125"/>
      <c r="BC15" s="51"/>
      <c r="BD15" s="65" t="s">
        <v>90</v>
      </c>
      <c r="BE15" s="65" t="s">
        <v>91</v>
      </c>
      <c r="BF15" s="65" t="s">
        <v>92</v>
      </c>
      <c r="BG15" s="21"/>
      <c r="BH15" s="21" t="s">
        <v>98</v>
      </c>
      <c r="BI15" s="55">
        <f>IF(AND(BD14=0,BE14=0,BF14=0),0,+AT13*1000+AW13)</f>
        <v>0</v>
      </c>
      <c r="BJ15" s="56"/>
      <c r="BK15" s="53" t="e">
        <f>IF(D16&lt;&gt;"",D16,0)</f>
        <v>#N/A</v>
      </c>
      <c r="BL15" s="53" t="e">
        <f>IF(I16&lt;&gt;"",I16,0)</f>
        <v>#N/A</v>
      </c>
      <c r="BM15" s="53">
        <f>IF(N16&lt;&gt;"",N16,0)</f>
        <v>0</v>
      </c>
      <c r="BN15" s="53" t="e">
        <f>IF(S16&lt;&gt;"",S16,0)</f>
        <v>#N/A</v>
      </c>
      <c r="BO15" s="53" t="e">
        <f>IF(X16&lt;&gt;"",X16,0)</f>
        <v>#N/A</v>
      </c>
      <c r="BP15" s="53" t="e">
        <f>IF(AC16&lt;&gt;"",AC16,0)</f>
        <v>#N/A</v>
      </c>
      <c r="BQ15" s="53" t="e">
        <f>IF(AH16&lt;&gt;"",AH16,0)</f>
        <v>#N/A</v>
      </c>
      <c r="BR15" s="53" t="e">
        <f>IF(AM16&lt;&gt;"",AM16,0)</f>
        <v>#N/A</v>
      </c>
    </row>
    <row r="16" spans="2:70" ht="24" customHeight="1">
      <c r="B16" s="190"/>
      <c r="C16" s="27" t="s">
        <v>78</v>
      </c>
      <c r="D16" s="28" t="e">
        <f>VLOOKUP("後"&amp;$B13&amp;E$39,'１部対戦表'!$R$1:$U$141,2,FALSE)</f>
        <v>#N/A</v>
      </c>
      <c r="E16" s="28" t="e">
        <f>IF(D16&lt;&gt;"",IF(D16&gt;F16,"○",IF(D16&lt;F16,"●","△")),"")</f>
        <v>#N/A</v>
      </c>
      <c r="F16" s="28" t="e">
        <f>VLOOKUP("後"&amp;$B13&amp;E$39,'１部対戦表'!$R$1:$U$141,3,FALSE)</f>
        <v>#N/A</v>
      </c>
      <c r="G16" s="29" t="s">
        <v>79</v>
      </c>
      <c r="H16" s="27" t="s">
        <v>78</v>
      </c>
      <c r="I16" s="28" t="e">
        <f>VLOOKUP("後"&amp;$B13&amp;J$39,'１部対戦表'!$R$1:$U$141,2,FALSE)</f>
        <v>#N/A</v>
      </c>
      <c r="J16" s="28" t="e">
        <f>IF(I16&lt;&gt;"",IF(I16&gt;K16,"○",IF(I16&lt;K16,"●","△")),"")</f>
        <v>#N/A</v>
      </c>
      <c r="K16" s="28" t="e">
        <f>VLOOKUP("後"&amp;$B13&amp;J$39,'１部対戦表'!$R$1:$U$141,3,FALSE)</f>
        <v>#N/A</v>
      </c>
      <c r="L16" s="29" t="s">
        <v>79</v>
      </c>
      <c r="M16" s="147"/>
      <c r="N16" s="148"/>
      <c r="O16" s="148"/>
      <c r="P16" s="148"/>
      <c r="Q16" s="149"/>
      <c r="R16" s="27" t="s">
        <v>78</v>
      </c>
      <c r="S16" s="28" t="e">
        <f>VLOOKUP("後"&amp;$B13&amp;T$39,'１部対戦表'!$R$1:$U$141,2,FALSE)</f>
        <v>#N/A</v>
      </c>
      <c r="T16" s="28" t="e">
        <f>IF(S16&lt;&gt;"",IF(S16&gt;U16,"○",IF(S16&lt;U16,"●","△")),"")</f>
        <v>#N/A</v>
      </c>
      <c r="U16" s="28" t="e">
        <f>VLOOKUP("後"&amp;$B13&amp;T$39,'１部対戦表'!$R$1:$U$141,3,FALSE)</f>
        <v>#N/A</v>
      </c>
      <c r="V16" s="29" t="s">
        <v>79</v>
      </c>
      <c r="W16" s="27" t="s">
        <v>78</v>
      </c>
      <c r="X16" s="28" t="e">
        <f>VLOOKUP("後"&amp;$B13&amp;Y$39,'１部対戦表'!$R$1:$U$141,2,FALSE)</f>
        <v>#N/A</v>
      </c>
      <c r="Y16" s="28" t="e">
        <f>IF(X16&lt;&gt;"",IF(X16&gt;Z16,"○",IF(X16&lt;Z16,"●","△")),"")</f>
        <v>#N/A</v>
      </c>
      <c r="Z16" s="28" t="e">
        <f>VLOOKUP("後"&amp;$B13&amp;Y$39,'１部対戦表'!$R$1:$U$141,3,FALSE)</f>
        <v>#N/A</v>
      </c>
      <c r="AA16" s="29" t="s">
        <v>79</v>
      </c>
      <c r="AB16" s="27" t="s">
        <v>78</v>
      </c>
      <c r="AC16" s="28" t="e">
        <f>VLOOKUP("後"&amp;$B13&amp;AD$39,'１部対戦表'!$R$1:$U$141,2,FALSE)</f>
        <v>#N/A</v>
      </c>
      <c r="AD16" s="28" t="e">
        <f>IF(AC16&lt;&gt;"",IF(AC16&gt;AE16,"○",IF(AC16&lt;AE16,"●","△")),"")</f>
        <v>#N/A</v>
      </c>
      <c r="AE16" s="28" t="e">
        <f>VLOOKUP("後"&amp;$B13&amp;AD$39,'１部対戦表'!$R$1:$U$141,3,FALSE)</f>
        <v>#N/A</v>
      </c>
      <c r="AF16" s="29" t="s">
        <v>79</v>
      </c>
      <c r="AG16" s="27" t="s">
        <v>78</v>
      </c>
      <c r="AH16" s="28" t="e">
        <f>VLOOKUP("後"&amp;$B13&amp;AI$39,'１部対戦表'!$R$1:$U$141,2,FALSE)</f>
        <v>#N/A</v>
      </c>
      <c r="AI16" s="28" t="e">
        <f>IF(AH16&lt;&gt;"",IF(AH16&gt;AJ16,"○",IF(AH16&lt;AJ16,"●","△")),"")</f>
        <v>#N/A</v>
      </c>
      <c r="AJ16" s="28" t="e">
        <f>VLOOKUP("後"&amp;$B13&amp;AI$39,'１部対戦表'!$R$1:$U$141,3,FALSE)</f>
        <v>#N/A</v>
      </c>
      <c r="AK16" s="29" t="s">
        <v>79</v>
      </c>
      <c r="AL16" s="27" t="s">
        <v>78</v>
      </c>
      <c r="AM16" s="28" t="e">
        <f>VLOOKUP("後"&amp;$B13&amp;AN$39,'１部対戦表'!$R$1:$U$141,2,FALSE)</f>
        <v>#N/A</v>
      </c>
      <c r="AN16" s="28" t="e">
        <f>IF(AM16&lt;&gt;"",IF(AM16&gt;AO16,"○",IF(AM16&lt;AO16,"●","△")),"")</f>
        <v>#N/A</v>
      </c>
      <c r="AO16" s="28" t="e">
        <f>VLOOKUP("後"&amp;$B13&amp;AN$39,'１部対戦表'!$R$1:$U$141,3,FALSE)</f>
        <v>#N/A</v>
      </c>
      <c r="AP16" s="29" t="s">
        <v>79</v>
      </c>
      <c r="AQ16" s="154"/>
      <c r="AR16" s="183"/>
      <c r="AS16" s="183"/>
      <c r="AT16" s="173"/>
      <c r="AU16" s="182"/>
      <c r="AV16" s="182"/>
      <c r="AW16" s="179"/>
      <c r="AX16" s="152"/>
      <c r="BD16" s="65" t="e">
        <f>SUM(BK13:BR13)+SUM(BK15:BR15)</f>
        <v>#N/A</v>
      </c>
      <c r="BE16" s="65" t="e">
        <f>SUM(BK14:BR14)+SUM(BK16:BR16)</f>
        <v>#N/A</v>
      </c>
      <c r="BF16" s="47" t="e">
        <f>+BD16-BE16</f>
        <v>#N/A</v>
      </c>
      <c r="BG16" s="21"/>
      <c r="BH16" s="21"/>
      <c r="BI16" s="21"/>
      <c r="BJ16" s="21"/>
      <c r="BK16" s="54" t="e">
        <f>IF(F16&lt;&gt;"",F16,0)</f>
        <v>#N/A</v>
      </c>
      <c r="BL16" s="54" t="e">
        <f>IF(K16&lt;&gt;"",K16,0)</f>
        <v>#N/A</v>
      </c>
      <c r="BM16" s="54">
        <f>IF(P16&lt;&gt;"",P16,0)</f>
        <v>0</v>
      </c>
      <c r="BN16" s="54" t="e">
        <f>IF(U16&lt;&gt;"",U16,0)</f>
        <v>#N/A</v>
      </c>
      <c r="BO16" s="54" t="e">
        <f>IF(Z16&lt;&gt;"",Z16,0)</f>
        <v>#N/A</v>
      </c>
      <c r="BP16" s="54" t="e">
        <f>IF(AE16&lt;&gt;"",AE16,0)</f>
        <v>#N/A</v>
      </c>
      <c r="BQ16" s="54" t="e">
        <f>IF(AJ16&lt;&gt;"",AJ16,0)</f>
        <v>#N/A</v>
      </c>
      <c r="BR16" s="54" t="e">
        <f>IF(AO16&lt;&gt;"",AO16,0)</f>
        <v>#N/A</v>
      </c>
    </row>
    <row r="17" spans="2:70" ht="24" customHeight="1" thickBot="1">
      <c r="B17" s="59" t="str">
        <f>+AX61</f>
        <v>Ｄ</v>
      </c>
      <c r="C17" s="138">
        <f>VLOOKUP("前"&amp;$B17&amp;E$39,'１部対戦表'!$R$1:$U$141,4,FALSE)</f>
        <v>40392</v>
      </c>
      <c r="D17" s="139"/>
      <c r="E17" s="139"/>
      <c r="F17" s="139"/>
      <c r="G17" s="140"/>
      <c r="H17" s="138">
        <f>VLOOKUP("前"&amp;$B17&amp;J$39,'１部対戦表'!$R$1:$U$141,4,FALSE)</f>
        <v>40379</v>
      </c>
      <c r="I17" s="139"/>
      <c r="J17" s="139"/>
      <c r="K17" s="139"/>
      <c r="L17" s="140"/>
      <c r="M17" s="138">
        <f>VLOOKUP("前"&amp;$B17&amp;O$39,'１部対戦表'!$R$1:$U$141,4,FALSE)</f>
        <v>40364</v>
      </c>
      <c r="N17" s="139"/>
      <c r="O17" s="139"/>
      <c r="P17" s="139"/>
      <c r="Q17" s="140"/>
      <c r="R17" s="141"/>
      <c r="S17" s="142"/>
      <c r="T17" s="142"/>
      <c r="U17" s="142"/>
      <c r="V17" s="143"/>
      <c r="W17" s="138">
        <f>VLOOKUP("前"&amp;$B17&amp;Y$39,'１部対戦表'!$R$1:$U$141,4,FALSE)</f>
        <v>40315</v>
      </c>
      <c r="X17" s="139"/>
      <c r="Y17" s="139"/>
      <c r="Z17" s="139"/>
      <c r="AA17" s="140"/>
      <c r="AB17" s="138">
        <f>VLOOKUP("前"&amp;$B17&amp;AD$39,'１部対戦表'!$R$1:$U$141,4,FALSE)</f>
        <v>40343</v>
      </c>
      <c r="AC17" s="139"/>
      <c r="AD17" s="139"/>
      <c r="AE17" s="139"/>
      <c r="AF17" s="140"/>
      <c r="AG17" s="138">
        <f>VLOOKUP("前"&amp;$B17&amp;AI$39,'１部対戦表'!$R$1:$U$141,4,FALSE)</f>
        <v>40350</v>
      </c>
      <c r="AH17" s="139"/>
      <c r="AI17" s="139"/>
      <c r="AJ17" s="139"/>
      <c r="AK17" s="140"/>
      <c r="AL17" s="138">
        <f>VLOOKUP("前"&amp;$B17&amp;AN$39,'１部対戦表'!$R$1:$U$141,4,FALSE)</f>
        <v>40399</v>
      </c>
      <c r="AM17" s="139"/>
      <c r="AN17" s="139"/>
      <c r="AO17" s="139"/>
      <c r="AP17" s="140"/>
      <c r="AQ17" s="153">
        <f>IF(AND($BD18=0,$BE18=0,$BF18=0),"",BD18)</f>
      </c>
      <c r="AR17" s="169">
        <f>IF(AND($BD18=0,$BE18=0,$BF18=0),"",BE18)</f>
      </c>
      <c r="AS17" s="169">
        <f>IF(AND($BD18=0,$BE18=0,$BF18=0),"",BF18)</f>
      </c>
      <c r="AT17" s="171">
        <f>IF(AND($BD18=0,$BE18=0,$BF18=0),"",BG18+AZ18)</f>
      </c>
      <c r="AU17" s="180">
        <f>IF(AND($BD18=0,$BE18=0,$BF18=0),"",BD20)</f>
      </c>
      <c r="AV17" s="180">
        <f>IF(AND($BD18=0,$BE18=0,$BF18=0),"",BE20)</f>
      </c>
      <c r="AW17" s="177">
        <f>IF(AND($BD18=0,$BE18=0,$BF18=0),"",BF20)</f>
      </c>
      <c r="AX17" s="150">
        <f>IF(AND($BD18=0,$BE18=0,$BF18=0),"",RANK(BI19,BI$7:BI$35))</f>
      </c>
      <c r="BD17" s="57" t="s">
        <v>86</v>
      </c>
      <c r="BE17" s="57" t="s">
        <v>87</v>
      </c>
      <c r="BF17" s="57" t="s">
        <v>88</v>
      </c>
      <c r="BG17" s="57" t="s">
        <v>89</v>
      </c>
      <c r="BH17" s="20"/>
      <c r="BI17" s="20"/>
      <c r="BJ17" s="20"/>
      <c r="BK17" s="52">
        <f>IF(D18&lt;&gt;"",D18,0)</f>
        <v>0</v>
      </c>
      <c r="BL17" s="52">
        <f>IF(I18&lt;&gt;"",I18,0)</f>
        <v>0</v>
      </c>
      <c r="BM17" s="52">
        <f>IF(N18&lt;&gt;"",N18,0)</f>
        <v>0</v>
      </c>
      <c r="BN17" s="52">
        <f>IF(S18&lt;&gt;"",S18,0)</f>
        <v>0</v>
      </c>
      <c r="BO17" s="52">
        <f>IF(X18&lt;&gt;"",X18,0)</f>
        <v>0</v>
      </c>
      <c r="BP17" s="52">
        <f>IF(AC18&lt;&gt;"",AC18,0)</f>
        <v>0</v>
      </c>
      <c r="BQ17" s="52">
        <f>IF(AH18&lt;&gt;"",AH18,0)</f>
        <v>0</v>
      </c>
      <c r="BR17" s="52">
        <f>IF(AM18&lt;&gt;"",AM18,0)</f>
        <v>0</v>
      </c>
    </row>
    <row r="18" spans="2:70" ht="24" customHeight="1">
      <c r="B18" s="155" t="str">
        <f>VLOOKUP(B17,'参加チーム'!$B$5:$F$73,IF($AQ$3=1,3,4),FALSE)</f>
        <v>malva</v>
      </c>
      <c r="C18" s="30" t="s">
        <v>78</v>
      </c>
      <c r="D18" s="31">
        <f>VLOOKUP("前"&amp;$B17&amp;E$39,'１部対戦表'!$R$1:$U$141,2,FALSE)</f>
      </c>
      <c r="E18" s="31">
        <f>IF(D18&lt;&gt;"",IF(D18&gt;F18,"○",IF(D18&lt;F18,"●","△")),"")</f>
      </c>
      <c r="F18" s="31">
        <f>VLOOKUP("前"&amp;$B17&amp;E$39,'１部対戦表'!$R$1:$U$141,3,FALSE)</f>
      </c>
      <c r="G18" s="32" t="s">
        <v>79</v>
      </c>
      <c r="H18" s="30" t="s">
        <v>78</v>
      </c>
      <c r="I18" s="31">
        <f>VLOOKUP("前"&amp;$B17&amp;J$39,'１部対戦表'!$R$1:$U$141,2,FALSE)</f>
      </c>
      <c r="J18" s="31">
        <f>IF(I18&lt;&gt;"",IF(I18&gt;K18,"○",IF(I18&lt;K18,"●","△")),"")</f>
      </c>
      <c r="K18" s="31">
        <f>VLOOKUP("前"&amp;$B17&amp;J$39,'１部対戦表'!$R$1:$U$141,3,FALSE)</f>
      </c>
      <c r="L18" s="32" t="s">
        <v>79</v>
      </c>
      <c r="M18" s="30" t="s">
        <v>78</v>
      </c>
      <c r="N18" s="31">
        <f>VLOOKUP("前"&amp;$B17&amp;O$39,'１部対戦表'!$R$1:$U$141,2,FALSE)</f>
      </c>
      <c r="O18" s="31">
        <f>IF(N18&lt;&gt;"",IF(N18&gt;P18,"○",IF(N18&lt;P18,"●","△")),"")</f>
      </c>
      <c r="P18" s="31">
        <f>VLOOKUP("前"&amp;$B17&amp;O$39,'１部対戦表'!$R$1:$U$141,3,FALSE)</f>
      </c>
      <c r="Q18" s="32" t="s">
        <v>79</v>
      </c>
      <c r="R18" s="144"/>
      <c r="S18" s="145"/>
      <c r="T18" s="145"/>
      <c r="U18" s="145"/>
      <c r="V18" s="146"/>
      <c r="W18" s="30" t="s">
        <v>78</v>
      </c>
      <c r="X18" s="31">
        <f>VLOOKUP("前"&amp;$B17&amp;Y$39,'１部対戦表'!$R$1:$U$141,2,FALSE)</f>
      </c>
      <c r="Y18" s="31">
        <f>IF(X18&lt;&gt;"",IF(X18&gt;Z18,"○",IF(X18&lt;Z18,"●","△")),"")</f>
      </c>
      <c r="Z18" s="31">
        <f>VLOOKUP("前"&amp;$B17&amp;Y$39,'１部対戦表'!$R$1:$U$141,3,FALSE)</f>
      </c>
      <c r="AA18" s="32" t="s">
        <v>79</v>
      </c>
      <c r="AB18" s="30" t="s">
        <v>78</v>
      </c>
      <c r="AC18" s="31">
        <f>VLOOKUP("前"&amp;$B17&amp;AD$39,'１部対戦表'!$R$1:$U$141,2,FALSE)</f>
      </c>
      <c r="AD18" s="31">
        <f>IF(AC18&lt;&gt;"",IF(AC18&gt;AE18,"○",IF(AC18&lt;AE18,"●","△")),"")</f>
      </c>
      <c r="AE18" s="31">
        <f>VLOOKUP("前"&amp;$B17&amp;AD$39,'１部対戦表'!$R$1:$U$141,3,FALSE)</f>
      </c>
      <c r="AF18" s="32" t="s">
        <v>79</v>
      </c>
      <c r="AG18" s="30" t="s">
        <v>78</v>
      </c>
      <c r="AH18" s="31">
        <f>VLOOKUP("前"&amp;$B17&amp;AI$39,'１部対戦表'!$R$1:$U$141,2,FALSE)</f>
      </c>
      <c r="AI18" s="31">
        <f>IF(AH18&lt;&gt;"",IF(AH18&gt;AJ18,"○",IF(AH18&lt;AJ18,"●","△")),"")</f>
      </c>
      <c r="AJ18" s="31">
        <f>VLOOKUP("前"&amp;$B17&amp;AI$39,'１部対戦表'!$R$1:$U$141,3,FALSE)</f>
      </c>
      <c r="AK18" s="32" t="s">
        <v>79</v>
      </c>
      <c r="AL18" s="30" t="s">
        <v>78</v>
      </c>
      <c r="AM18" s="31">
        <f>VLOOKUP("前"&amp;$B17&amp;AN$39,'１部対戦表'!$R$1:$U$141,2,FALSE)</f>
      </c>
      <c r="AN18" s="31">
        <f>IF(AM18&lt;&gt;"",IF(AM18&gt;AO18,"○",IF(AM18&lt;AO18,"●","△")),"")</f>
      </c>
      <c r="AO18" s="31">
        <f>VLOOKUP("前"&amp;$B17&amp;AN$39,'１部対戦表'!$R$1:$U$141,3,FALSE)</f>
      </c>
      <c r="AP18" s="32" t="s">
        <v>79</v>
      </c>
      <c r="AQ18" s="153"/>
      <c r="AR18" s="169"/>
      <c r="AS18" s="169"/>
      <c r="AT18" s="172"/>
      <c r="AU18" s="181"/>
      <c r="AV18" s="181"/>
      <c r="AW18" s="178"/>
      <c r="AX18" s="151"/>
      <c r="AZ18" s="158"/>
      <c r="BA18" s="51"/>
      <c r="BB18" s="124"/>
      <c r="BC18" s="51"/>
      <c r="BD18" s="22">
        <f>COUNTIF($C17:$AP20,"○")</f>
        <v>0</v>
      </c>
      <c r="BE18" s="22">
        <f>COUNTIF($C17:$AP20,"△")</f>
        <v>0</v>
      </c>
      <c r="BF18" s="22">
        <f>COUNTIF($C17:$AP20,"●")</f>
        <v>0</v>
      </c>
      <c r="BG18" s="57">
        <f>BD18*3+BE18</f>
        <v>0</v>
      </c>
      <c r="BH18" s="20"/>
      <c r="BI18" s="20"/>
      <c r="BJ18" s="20"/>
      <c r="BK18" s="53">
        <f>IF(F18&lt;&gt;"",F18,0)</f>
        <v>0</v>
      </c>
      <c r="BL18" s="53">
        <f>IF(K18&lt;&gt;"",K18,0)</f>
        <v>0</v>
      </c>
      <c r="BM18" s="53">
        <f>IF(P18&lt;&gt;"",P18,0)</f>
        <v>0</v>
      </c>
      <c r="BN18" s="53">
        <f>IF(U18&lt;&gt;"",U18,0)</f>
        <v>0</v>
      </c>
      <c r="BO18" s="53">
        <f>IF(Z18&lt;&gt;"",Z18,0)</f>
        <v>0</v>
      </c>
      <c r="BP18" s="53">
        <f>IF(AE18&lt;&gt;"",AE18,0)</f>
        <v>0</v>
      </c>
      <c r="BQ18" s="53">
        <f>IF(AJ18&lt;&gt;"",AJ18,0)</f>
        <v>0</v>
      </c>
      <c r="BR18" s="53">
        <f>IF(AO18&lt;&gt;"",AO18,0)</f>
        <v>0</v>
      </c>
    </row>
    <row r="19" spans="2:70" ht="24" customHeight="1" thickBot="1">
      <c r="B19" s="155"/>
      <c r="C19" s="135" t="e">
        <f>VLOOKUP("後"&amp;$B17&amp;E$39,'１部対戦表'!$R$1:$U$141,4,FALSE)</f>
        <v>#N/A</v>
      </c>
      <c r="D19" s="136"/>
      <c r="E19" s="136"/>
      <c r="F19" s="136"/>
      <c r="G19" s="137"/>
      <c r="H19" s="135" t="e">
        <f>VLOOKUP("後"&amp;$B17&amp;J$39,'１部対戦表'!$R$1:$U$141,4,FALSE)</f>
        <v>#N/A</v>
      </c>
      <c r="I19" s="136"/>
      <c r="J19" s="136"/>
      <c r="K19" s="136"/>
      <c r="L19" s="137"/>
      <c r="M19" s="135" t="e">
        <f>VLOOKUP("後"&amp;$B17&amp;O$39,'１部対戦表'!$R$1:$U$141,4,FALSE)</f>
        <v>#N/A</v>
      </c>
      <c r="N19" s="136"/>
      <c r="O19" s="136"/>
      <c r="P19" s="136"/>
      <c r="Q19" s="137"/>
      <c r="R19" s="144"/>
      <c r="S19" s="145"/>
      <c r="T19" s="145"/>
      <c r="U19" s="145"/>
      <c r="V19" s="146"/>
      <c r="W19" s="135" t="e">
        <f>VLOOKUP("後"&amp;$B17&amp;Y$39,'１部対戦表'!$R$1:$U$141,4,FALSE)</f>
        <v>#N/A</v>
      </c>
      <c r="X19" s="136"/>
      <c r="Y19" s="136"/>
      <c r="Z19" s="136"/>
      <c r="AA19" s="137"/>
      <c r="AB19" s="135" t="e">
        <f>VLOOKUP("後"&amp;$B17&amp;AD$39,'１部対戦表'!$R$1:$U$141,4,FALSE)</f>
        <v>#N/A</v>
      </c>
      <c r="AC19" s="136"/>
      <c r="AD19" s="136"/>
      <c r="AE19" s="136"/>
      <c r="AF19" s="137"/>
      <c r="AG19" s="135" t="e">
        <f>VLOOKUP("後"&amp;$B17&amp;AI$39,'１部対戦表'!$R$1:$U$141,4,FALSE)</f>
        <v>#N/A</v>
      </c>
      <c r="AH19" s="136"/>
      <c r="AI19" s="136"/>
      <c r="AJ19" s="136"/>
      <c r="AK19" s="137"/>
      <c r="AL19" s="135" t="e">
        <f>VLOOKUP("後"&amp;$B17&amp;AN$39,'１部対戦表'!$R$1:$U$141,4,FALSE)</f>
        <v>#N/A</v>
      </c>
      <c r="AM19" s="136"/>
      <c r="AN19" s="136"/>
      <c r="AO19" s="136"/>
      <c r="AP19" s="137"/>
      <c r="AQ19" s="153"/>
      <c r="AR19" s="169"/>
      <c r="AS19" s="169"/>
      <c r="AT19" s="172"/>
      <c r="AU19" s="181"/>
      <c r="AV19" s="181"/>
      <c r="AW19" s="178"/>
      <c r="AX19" s="151"/>
      <c r="AZ19" s="159"/>
      <c r="BA19" s="51"/>
      <c r="BB19" s="125"/>
      <c r="BC19" s="51"/>
      <c r="BD19" s="65" t="s">
        <v>90</v>
      </c>
      <c r="BE19" s="65" t="s">
        <v>91</v>
      </c>
      <c r="BF19" s="65" t="s">
        <v>92</v>
      </c>
      <c r="BG19" s="21"/>
      <c r="BH19" s="21" t="s">
        <v>98</v>
      </c>
      <c r="BI19" s="55">
        <f>IF(AND(BD18=0,BE18=0,BF18=0),0,AT17*1000+AW17+IF(BB18=$BD$4,100,0)+IF(BB18=$BF$4,-100,0))</f>
        <v>0</v>
      </c>
      <c r="BJ19" s="56"/>
      <c r="BK19" s="53" t="e">
        <f>IF(D20&lt;&gt;"",D20,0)</f>
        <v>#N/A</v>
      </c>
      <c r="BL19" s="53" t="e">
        <f>IF(I20&lt;&gt;"",I20,0)</f>
        <v>#N/A</v>
      </c>
      <c r="BM19" s="53" t="e">
        <f>IF(N20&lt;&gt;"",N20,0)</f>
        <v>#N/A</v>
      </c>
      <c r="BN19" s="53">
        <f>IF(S20&lt;&gt;"",S20,0)</f>
        <v>0</v>
      </c>
      <c r="BO19" s="53" t="e">
        <f>IF(X20&lt;&gt;"",X20,0)</f>
        <v>#N/A</v>
      </c>
      <c r="BP19" s="53" t="e">
        <f>IF(AC20&lt;&gt;"",AC20,0)</f>
        <v>#N/A</v>
      </c>
      <c r="BQ19" s="53" t="e">
        <f>IF(AH20&lt;&gt;"",AH20,0)</f>
        <v>#N/A</v>
      </c>
      <c r="BR19" s="53" t="e">
        <f>IF(AM20&lt;&gt;"",AM20,0)</f>
        <v>#N/A</v>
      </c>
    </row>
    <row r="20" spans="2:70" ht="24" customHeight="1">
      <c r="B20" s="190"/>
      <c r="C20" s="27" t="s">
        <v>78</v>
      </c>
      <c r="D20" s="28" t="e">
        <f>VLOOKUP("後"&amp;$B17&amp;E$39,'１部対戦表'!$R$1:$U$141,2,FALSE)</f>
        <v>#N/A</v>
      </c>
      <c r="E20" s="28" t="e">
        <f>IF(D20&lt;&gt;"",IF(D20&gt;F20,"○",IF(D20&lt;F20,"●","△")),"")</f>
        <v>#N/A</v>
      </c>
      <c r="F20" s="28" t="e">
        <f>VLOOKUP("後"&amp;$B17&amp;E$39,'１部対戦表'!$R$1:$U$141,3,FALSE)</f>
        <v>#N/A</v>
      </c>
      <c r="G20" s="29" t="s">
        <v>79</v>
      </c>
      <c r="H20" s="27" t="s">
        <v>78</v>
      </c>
      <c r="I20" s="28" t="e">
        <f>VLOOKUP("後"&amp;$B17&amp;J$39,'１部対戦表'!$R$1:$U$141,2,FALSE)</f>
        <v>#N/A</v>
      </c>
      <c r="J20" s="28" t="e">
        <f>IF(I20&lt;&gt;"",IF(I20&gt;K20,"○",IF(I20&lt;K20,"●","△")),"")</f>
        <v>#N/A</v>
      </c>
      <c r="K20" s="28" t="e">
        <f>VLOOKUP("後"&amp;$B17&amp;J$39,'１部対戦表'!$R$1:$U$141,3,FALSE)</f>
        <v>#N/A</v>
      </c>
      <c r="L20" s="29" t="s">
        <v>79</v>
      </c>
      <c r="M20" s="27" t="s">
        <v>78</v>
      </c>
      <c r="N20" s="28" t="e">
        <f>VLOOKUP("後"&amp;$B17&amp;O$39,'１部対戦表'!$R$1:$U$141,2,FALSE)</f>
        <v>#N/A</v>
      </c>
      <c r="O20" s="28" t="e">
        <f>IF(N20&lt;&gt;"",IF(N20&gt;P20,"○",IF(N20&lt;P20,"●","△")),"")</f>
        <v>#N/A</v>
      </c>
      <c r="P20" s="28" t="e">
        <f>VLOOKUP("後"&amp;$B17&amp;O$39,'１部対戦表'!$R$1:$U$141,3,FALSE)</f>
        <v>#N/A</v>
      </c>
      <c r="Q20" s="29" t="s">
        <v>79</v>
      </c>
      <c r="R20" s="147"/>
      <c r="S20" s="148"/>
      <c r="T20" s="148"/>
      <c r="U20" s="148"/>
      <c r="V20" s="149"/>
      <c r="W20" s="27" t="s">
        <v>78</v>
      </c>
      <c r="X20" s="28" t="e">
        <f>VLOOKUP("後"&amp;$B17&amp;Y$39,'１部対戦表'!$R$1:$U$141,2,FALSE)</f>
        <v>#N/A</v>
      </c>
      <c r="Y20" s="28" t="e">
        <f>IF(X20&lt;&gt;"",IF(X20&gt;Z20,"○",IF(X20&lt;Z20,"●","△")),"")</f>
        <v>#N/A</v>
      </c>
      <c r="Z20" s="28" t="e">
        <f>VLOOKUP("後"&amp;$B17&amp;Y$39,'１部対戦表'!$R$1:$U$141,3,FALSE)</f>
        <v>#N/A</v>
      </c>
      <c r="AA20" s="29" t="s">
        <v>79</v>
      </c>
      <c r="AB20" s="27" t="s">
        <v>78</v>
      </c>
      <c r="AC20" s="28" t="e">
        <f>VLOOKUP("後"&amp;$B17&amp;AD$39,'１部対戦表'!$R$1:$U$141,2,FALSE)</f>
        <v>#N/A</v>
      </c>
      <c r="AD20" s="28" t="e">
        <f>IF(AC20&lt;&gt;"",IF(AC20&gt;AE20,"○",IF(AC20&lt;AE20,"●","△")),"")</f>
        <v>#N/A</v>
      </c>
      <c r="AE20" s="28" t="e">
        <f>VLOOKUP("後"&amp;$B17&amp;AD$39,'１部対戦表'!$R$1:$U$141,3,FALSE)</f>
        <v>#N/A</v>
      </c>
      <c r="AF20" s="29" t="s">
        <v>79</v>
      </c>
      <c r="AG20" s="27" t="s">
        <v>78</v>
      </c>
      <c r="AH20" s="28" t="e">
        <f>VLOOKUP("後"&amp;$B17&amp;AI$39,'１部対戦表'!$R$1:$U$141,2,FALSE)</f>
        <v>#N/A</v>
      </c>
      <c r="AI20" s="28" t="e">
        <f>IF(AH20&lt;&gt;"",IF(AH20&gt;AJ20,"○",IF(AH20&lt;AJ20,"●","△")),"")</f>
        <v>#N/A</v>
      </c>
      <c r="AJ20" s="28" t="e">
        <f>VLOOKUP("後"&amp;$B17&amp;AI$39,'１部対戦表'!$R$1:$U$141,3,FALSE)</f>
        <v>#N/A</v>
      </c>
      <c r="AK20" s="29" t="s">
        <v>79</v>
      </c>
      <c r="AL20" s="27" t="s">
        <v>78</v>
      </c>
      <c r="AM20" s="28" t="e">
        <f>VLOOKUP("後"&amp;$B17&amp;AN$39,'１部対戦表'!$R$1:$U$141,2,FALSE)</f>
        <v>#N/A</v>
      </c>
      <c r="AN20" s="28" t="e">
        <f>IF(AM20&lt;&gt;"",IF(AM20&gt;AO20,"○",IF(AM20&lt;AO20,"●","△")),"")</f>
        <v>#N/A</v>
      </c>
      <c r="AO20" s="28" t="e">
        <f>VLOOKUP("後"&amp;$B17&amp;AN$39,'１部対戦表'!$R$1:$U$141,3,FALSE)</f>
        <v>#N/A</v>
      </c>
      <c r="AP20" s="29" t="s">
        <v>79</v>
      </c>
      <c r="AQ20" s="154"/>
      <c r="AR20" s="183"/>
      <c r="AS20" s="183"/>
      <c r="AT20" s="173"/>
      <c r="AU20" s="182"/>
      <c r="AV20" s="182"/>
      <c r="AW20" s="179"/>
      <c r="AX20" s="152"/>
      <c r="BD20" s="65" t="e">
        <f>SUM(BK17:BR17)+SUM(BK19:BR19)</f>
        <v>#N/A</v>
      </c>
      <c r="BE20" s="65" t="e">
        <f>SUM(BK18:BR18)+SUM(BK20:BR20)</f>
        <v>#N/A</v>
      </c>
      <c r="BF20" s="47" t="e">
        <f>+BD20-BE20</f>
        <v>#N/A</v>
      </c>
      <c r="BG20" s="21"/>
      <c r="BH20" s="21"/>
      <c r="BI20" s="21"/>
      <c r="BJ20" s="21"/>
      <c r="BK20" s="54" t="e">
        <f>IF(F20&lt;&gt;"",F20,0)</f>
        <v>#N/A</v>
      </c>
      <c r="BL20" s="54" t="e">
        <f>IF(K20&lt;&gt;"",K20,0)</f>
        <v>#N/A</v>
      </c>
      <c r="BM20" s="54" t="e">
        <f>IF(P20&lt;&gt;"",P20,0)</f>
        <v>#N/A</v>
      </c>
      <c r="BN20" s="54">
        <f>IF(U20&lt;&gt;"",U20,0)</f>
        <v>0</v>
      </c>
      <c r="BO20" s="54" t="e">
        <f>IF(Z20&lt;&gt;"",Z20,0)</f>
        <v>#N/A</v>
      </c>
      <c r="BP20" s="54" t="e">
        <f>IF(AE20&lt;&gt;"",AE20,0)</f>
        <v>#N/A</v>
      </c>
      <c r="BQ20" s="54" t="e">
        <f>IF(AJ20&lt;&gt;"",AJ20,0)</f>
        <v>#N/A</v>
      </c>
      <c r="BR20" s="54" t="e">
        <f>IF(AO20&lt;&gt;"",AO20,0)</f>
        <v>#N/A</v>
      </c>
    </row>
    <row r="21" spans="2:70" ht="24" customHeight="1" thickBot="1">
      <c r="B21" s="59" t="str">
        <f>+AX62</f>
        <v>Ｅ</v>
      </c>
      <c r="C21" s="138">
        <f>VLOOKUP("前"&amp;$B21&amp;E$39,'１部対戦表'!$R$1:$U$141,4,FALSE)</f>
        <v>40364</v>
      </c>
      <c r="D21" s="139"/>
      <c r="E21" s="139"/>
      <c r="F21" s="139"/>
      <c r="G21" s="140"/>
      <c r="H21" s="138">
        <f>VLOOKUP("前"&amp;$B21&amp;J$39,'１部対戦表'!$R$1:$U$141,4,FALSE)</f>
        <v>40350</v>
      </c>
      <c r="I21" s="139"/>
      <c r="J21" s="139"/>
      <c r="K21" s="139"/>
      <c r="L21" s="140"/>
      <c r="M21" s="138">
        <f>VLOOKUP("前"&amp;$B21&amp;O$39,'１部対戦表'!$R$1:$U$141,4,FALSE)</f>
        <v>40343</v>
      </c>
      <c r="N21" s="139"/>
      <c r="O21" s="139"/>
      <c r="P21" s="139"/>
      <c r="Q21" s="140"/>
      <c r="R21" s="138">
        <f>VLOOKUP("前"&amp;$B21&amp;T$39,'１部対戦表'!$R$1:$U$141,4,FALSE)</f>
        <v>40315</v>
      </c>
      <c r="S21" s="139"/>
      <c r="T21" s="139"/>
      <c r="U21" s="139"/>
      <c r="V21" s="140"/>
      <c r="W21" s="141"/>
      <c r="X21" s="142"/>
      <c r="Y21" s="142"/>
      <c r="Z21" s="142"/>
      <c r="AA21" s="143"/>
      <c r="AB21" s="138">
        <f>VLOOKUP("前"&amp;$B21&amp;AD$39,'１部対戦表'!$R$1:$U$141,4,FALSE)</f>
        <v>40399</v>
      </c>
      <c r="AC21" s="139"/>
      <c r="AD21" s="139"/>
      <c r="AE21" s="139"/>
      <c r="AF21" s="140"/>
      <c r="AG21" s="138">
        <f>VLOOKUP("前"&amp;$B21&amp;AI$39,'１部対戦表'!$R$1:$U$141,4,FALSE)</f>
        <v>40392</v>
      </c>
      <c r="AH21" s="139"/>
      <c r="AI21" s="139"/>
      <c r="AJ21" s="139"/>
      <c r="AK21" s="140"/>
      <c r="AL21" s="138">
        <f>VLOOKUP("前"&amp;$B21&amp;AN$39,'１部対戦表'!$R$1:$U$141,4,FALSE)</f>
        <v>40379</v>
      </c>
      <c r="AM21" s="139"/>
      <c r="AN21" s="139"/>
      <c r="AO21" s="139"/>
      <c r="AP21" s="140"/>
      <c r="AQ21" s="153">
        <f>IF(AND($BD22=0,$BE22=0,$BF22=0),"",BD22)</f>
      </c>
      <c r="AR21" s="169">
        <f>IF(AND($BD22=0,$BE22=0,$BF22=0),"",BE22)</f>
      </c>
      <c r="AS21" s="169">
        <f>IF(AND($BD22=0,$BE22=0,$BF22=0),"",BF22)</f>
      </c>
      <c r="AT21" s="171">
        <f>IF(AND($BD22=0,$BE22=0,$BF22=0),"",BG22+AZ22)</f>
      </c>
      <c r="AU21" s="165">
        <f>IF(AND($BD22=0,$BE22=0,$BF22=0),"",BD24)</f>
      </c>
      <c r="AV21" s="165">
        <f>IF(AND($BD22=0,$BE22=0,$BF22=0),"",BE24)</f>
      </c>
      <c r="AW21" s="174">
        <f>IF(AND($BD22=0,$BE22=0,$BF22=0),"",BF24)</f>
      </c>
      <c r="AX21" s="150">
        <f>IF(AND($BD22=0,$BE22=0,$BF22=0),"",RANK(BI23,BI$7:BI$35))</f>
      </c>
      <c r="BD21" s="57" t="s">
        <v>86</v>
      </c>
      <c r="BE21" s="57" t="s">
        <v>87</v>
      </c>
      <c r="BF21" s="57" t="s">
        <v>88</v>
      </c>
      <c r="BG21" s="57" t="s">
        <v>89</v>
      </c>
      <c r="BH21" s="20"/>
      <c r="BI21" s="20"/>
      <c r="BJ21" s="20"/>
      <c r="BK21" s="52">
        <f>IF(D22&lt;&gt;"",D22,0)</f>
        <v>0</v>
      </c>
      <c r="BL21" s="52">
        <f>IF(I22&lt;&gt;"",I22,0)</f>
        <v>0</v>
      </c>
      <c r="BM21" s="52">
        <f>IF(N22&lt;&gt;"",N22,0)</f>
        <v>0</v>
      </c>
      <c r="BN21" s="52">
        <f>IF(S22&lt;&gt;"",S22,0)</f>
        <v>0</v>
      </c>
      <c r="BO21" s="52">
        <f>IF(X22&lt;&gt;"",X22,0)</f>
        <v>0</v>
      </c>
      <c r="BP21" s="52">
        <f>IF(AC22&lt;&gt;"",AC22,0)</f>
        <v>0</v>
      </c>
      <c r="BQ21" s="52">
        <f>IF(AH22&lt;&gt;"",AH22,0)</f>
        <v>0</v>
      </c>
      <c r="BR21" s="52">
        <f>IF(AM22&lt;&gt;"",AM22,0)</f>
        <v>0</v>
      </c>
    </row>
    <row r="22" spans="2:70" ht="24" customHeight="1">
      <c r="B22" s="155" t="str">
        <f>VLOOKUP(B21,'参加チーム'!$B$5:$F$73,IF($AQ$3=1,3,4),FALSE)</f>
        <v>Sabedoria</v>
      </c>
      <c r="C22" s="30" t="s">
        <v>78</v>
      </c>
      <c r="D22" s="31">
        <f>VLOOKUP("前"&amp;$B21&amp;E$39,'１部対戦表'!$R$1:$U$141,2,FALSE)</f>
      </c>
      <c r="E22" s="31">
        <f>IF(D22&lt;&gt;"",IF(D22&gt;F22,"○",IF(D22&lt;F22,"●","△")),"")</f>
      </c>
      <c r="F22" s="31">
        <f>VLOOKUP("前"&amp;$B21&amp;E$39,'１部対戦表'!$R$1:$U$141,3,FALSE)</f>
      </c>
      <c r="G22" s="32" t="s">
        <v>79</v>
      </c>
      <c r="H22" s="30" t="s">
        <v>78</v>
      </c>
      <c r="I22" s="31">
        <f>VLOOKUP("前"&amp;$B21&amp;J$39,'１部対戦表'!$R$1:$U$141,2,FALSE)</f>
      </c>
      <c r="J22" s="31">
        <f>IF(I22&lt;&gt;"",IF(I22&gt;K22,"○",IF(I22&lt;K22,"●","△")),"")</f>
      </c>
      <c r="K22" s="31">
        <f>VLOOKUP("前"&amp;$B21&amp;J$39,'１部対戦表'!$R$1:$U$141,3,FALSE)</f>
      </c>
      <c r="L22" s="32" t="s">
        <v>79</v>
      </c>
      <c r="M22" s="30" t="s">
        <v>78</v>
      </c>
      <c r="N22" s="31">
        <f>VLOOKUP("前"&amp;$B21&amp;O$39,'１部対戦表'!$R$1:$U$141,2,FALSE)</f>
      </c>
      <c r="O22" s="31">
        <f>IF(N22&lt;&gt;"",IF(N22&gt;P22,"○",IF(N22&lt;P22,"●","△")),"")</f>
      </c>
      <c r="P22" s="31">
        <f>VLOOKUP("前"&amp;$B21&amp;O$39,'１部対戦表'!$R$1:$U$141,3,FALSE)</f>
      </c>
      <c r="Q22" s="32" t="s">
        <v>79</v>
      </c>
      <c r="R22" s="30" t="s">
        <v>78</v>
      </c>
      <c r="S22" s="31">
        <f>VLOOKUP("前"&amp;$B21&amp;T$39,'１部対戦表'!$R$1:$U$141,2,FALSE)</f>
      </c>
      <c r="T22" s="31">
        <f>IF(S22&lt;&gt;"",IF(S22&gt;U22,"○",IF(S22&lt;U22,"●","△")),"")</f>
      </c>
      <c r="U22" s="31">
        <f>VLOOKUP("前"&amp;$B21&amp;T$39,'１部対戦表'!$R$1:$U$141,3,FALSE)</f>
      </c>
      <c r="V22" s="32" t="s">
        <v>79</v>
      </c>
      <c r="W22" s="144"/>
      <c r="X22" s="145"/>
      <c r="Y22" s="145"/>
      <c r="Z22" s="145"/>
      <c r="AA22" s="146"/>
      <c r="AB22" s="30" t="s">
        <v>78</v>
      </c>
      <c r="AC22" s="31">
        <f>VLOOKUP("前"&amp;$B21&amp;AD$39,'１部対戦表'!$R$1:$U$141,2,FALSE)</f>
      </c>
      <c r="AD22" s="31">
        <f>IF(AC22&lt;&gt;"",IF(AC22&gt;AE22,"○",IF(AC22&lt;AE22,"●","△")),"")</f>
      </c>
      <c r="AE22" s="31">
        <f>VLOOKUP("前"&amp;$B21&amp;AD$39,'１部対戦表'!$R$1:$U$141,3,FALSE)</f>
      </c>
      <c r="AF22" s="32" t="s">
        <v>79</v>
      </c>
      <c r="AG22" s="30" t="s">
        <v>78</v>
      </c>
      <c r="AH22" s="31">
        <f>VLOOKUP("前"&amp;$B21&amp;AI$39,'１部対戦表'!$R$1:$U$141,2,FALSE)</f>
      </c>
      <c r="AI22" s="31">
        <f>IF(AH22&lt;&gt;"",IF(AH22&gt;AJ22,"○",IF(AH22&lt;AJ22,"●","△")),"")</f>
      </c>
      <c r="AJ22" s="31">
        <f>VLOOKUP("前"&amp;$B21&amp;AI$39,'１部対戦表'!$R$1:$U$141,3,FALSE)</f>
      </c>
      <c r="AK22" s="32" t="s">
        <v>79</v>
      </c>
      <c r="AL22" s="30" t="s">
        <v>78</v>
      </c>
      <c r="AM22" s="31">
        <f>VLOOKUP("前"&amp;$B21&amp;AN$39,'１部対戦表'!$R$1:$U$141,2,FALSE)</f>
      </c>
      <c r="AN22" s="31">
        <f>IF(AM22&lt;&gt;"",IF(AM22&gt;AO22,"○",IF(AM22&lt;AO22,"●","△")),"")</f>
      </c>
      <c r="AO22" s="31">
        <f>VLOOKUP("前"&amp;$B21&amp;AN$39,'１部対戦表'!$R$1:$U$141,3,FALSE)</f>
      </c>
      <c r="AP22" s="32" t="s">
        <v>79</v>
      </c>
      <c r="AQ22" s="153"/>
      <c r="AR22" s="169"/>
      <c r="AS22" s="169"/>
      <c r="AT22" s="172"/>
      <c r="AU22" s="165"/>
      <c r="AV22" s="165"/>
      <c r="AW22" s="174"/>
      <c r="AX22" s="151"/>
      <c r="AZ22" s="158"/>
      <c r="BA22" s="51"/>
      <c r="BB22" s="124" t="s">
        <v>176</v>
      </c>
      <c r="BC22" s="51"/>
      <c r="BD22" s="22">
        <f>COUNTIF($C21:$AP24,"○")</f>
        <v>0</v>
      </c>
      <c r="BE22" s="22">
        <f>COUNTIF($C21:$AP24,"△")</f>
        <v>0</v>
      </c>
      <c r="BF22" s="22">
        <f>COUNTIF($C21:$AP24,"●")</f>
        <v>0</v>
      </c>
      <c r="BG22" s="57">
        <f>BD22*3+BE22</f>
        <v>0</v>
      </c>
      <c r="BH22" s="20"/>
      <c r="BI22" s="20"/>
      <c r="BJ22" s="20"/>
      <c r="BK22" s="53">
        <f>IF(F22&lt;&gt;"",F22,0)</f>
        <v>0</v>
      </c>
      <c r="BL22" s="53">
        <f>IF(K22&lt;&gt;"",K22,0)</f>
        <v>0</v>
      </c>
      <c r="BM22" s="53">
        <f>IF(P22&lt;&gt;"",P22,0)</f>
        <v>0</v>
      </c>
      <c r="BN22" s="53">
        <f>IF(U22&lt;&gt;"",U22,0)</f>
        <v>0</v>
      </c>
      <c r="BO22" s="53">
        <f>IF(Z22&lt;&gt;"",Z22,0)</f>
        <v>0</v>
      </c>
      <c r="BP22" s="53">
        <f>IF(AE22&lt;&gt;"",AE22,0)</f>
        <v>0</v>
      </c>
      <c r="BQ22" s="53">
        <f>IF(AJ22&lt;&gt;"",AJ22,0)</f>
        <v>0</v>
      </c>
      <c r="BR22" s="53">
        <f>IF(AO22&lt;&gt;"",AO22,0)</f>
        <v>0</v>
      </c>
    </row>
    <row r="23" spans="2:70" ht="24" customHeight="1" thickBot="1">
      <c r="B23" s="155"/>
      <c r="C23" s="135" t="e">
        <f>VLOOKUP("後"&amp;$B21&amp;E$39,'１部対戦表'!$R$1:$U$141,4,FALSE)</f>
        <v>#N/A</v>
      </c>
      <c r="D23" s="136"/>
      <c r="E23" s="136"/>
      <c r="F23" s="136"/>
      <c r="G23" s="137"/>
      <c r="H23" s="135" t="e">
        <f>VLOOKUP("後"&amp;$B21&amp;J$39,'１部対戦表'!$R$1:$U$141,4,FALSE)</f>
        <v>#N/A</v>
      </c>
      <c r="I23" s="136"/>
      <c r="J23" s="136"/>
      <c r="K23" s="136"/>
      <c r="L23" s="137"/>
      <c r="M23" s="135" t="e">
        <f>VLOOKUP("後"&amp;$B21&amp;O$39,'１部対戦表'!$R$1:$U$141,4,FALSE)</f>
        <v>#N/A</v>
      </c>
      <c r="N23" s="136"/>
      <c r="O23" s="136"/>
      <c r="P23" s="136"/>
      <c r="Q23" s="137"/>
      <c r="R23" s="135" t="e">
        <f>VLOOKUP("後"&amp;$B21&amp;T$39,'１部対戦表'!$R$1:$U$141,4,FALSE)</f>
        <v>#N/A</v>
      </c>
      <c r="S23" s="136"/>
      <c r="T23" s="136"/>
      <c r="U23" s="136"/>
      <c r="V23" s="137"/>
      <c r="W23" s="144"/>
      <c r="X23" s="145"/>
      <c r="Y23" s="145"/>
      <c r="Z23" s="145"/>
      <c r="AA23" s="146"/>
      <c r="AB23" s="135" t="e">
        <f>VLOOKUP("後"&amp;$B21&amp;AD$39,'１部対戦表'!$R$1:$U$141,4,FALSE)</f>
        <v>#N/A</v>
      </c>
      <c r="AC23" s="136"/>
      <c r="AD23" s="136"/>
      <c r="AE23" s="136"/>
      <c r="AF23" s="137"/>
      <c r="AG23" s="135" t="e">
        <f>VLOOKUP("後"&amp;$B21&amp;AI$39,'１部対戦表'!$R$1:$U$141,4,FALSE)</f>
        <v>#N/A</v>
      </c>
      <c r="AH23" s="136"/>
      <c r="AI23" s="136"/>
      <c r="AJ23" s="136"/>
      <c r="AK23" s="137"/>
      <c r="AL23" s="135" t="e">
        <f>VLOOKUP("後"&amp;$B21&amp;AN$39,'１部対戦表'!$R$1:$U$141,4,FALSE)</f>
        <v>#N/A</v>
      </c>
      <c r="AM23" s="136"/>
      <c r="AN23" s="136"/>
      <c r="AO23" s="136"/>
      <c r="AP23" s="137"/>
      <c r="AQ23" s="153"/>
      <c r="AR23" s="169"/>
      <c r="AS23" s="169"/>
      <c r="AT23" s="172"/>
      <c r="AU23" s="165"/>
      <c r="AV23" s="165"/>
      <c r="AW23" s="174"/>
      <c r="AX23" s="151"/>
      <c r="AZ23" s="159"/>
      <c r="BA23" s="51"/>
      <c r="BB23" s="125"/>
      <c r="BC23" s="51"/>
      <c r="BD23" s="65" t="s">
        <v>90</v>
      </c>
      <c r="BE23" s="65" t="s">
        <v>91</v>
      </c>
      <c r="BF23" s="65" t="s">
        <v>92</v>
      </c>
      <c r="BG23" s="21"/>
      <c r="BH23" s="21" t="s">
        <v>98</v>
      </c>
      <c r="BI23" s="55">
        <f>IF(AND(BD22=0,BE22=0,BF22=0),0,+AT21*1000+AW21)</f>
        <v>0</v>
      </c>
      <c r="BJ23" s="56"/>
      <c r="BK23" s="53" t="e">
        <f>IF(D24&lt;&gt;"",D24,0)</f>
        <v>#N/A</v>
      </c>
      <c r="BL23" s="53" t="e">
        <f>IF(I24&lt;&gt;"",I24,0)</f>
        <v>#N/A</v>
      </c>
      <c r="BM23" s="53" t="e">
        <f>IF(N24&lt;&gt;"",N24,0)</f>
        <v>#N/A</v>
      </c>
      <c r="BN23" s="53" t="e">
        <f>IF(S24&lt;&gt;"",S24,0)</f>
        <v>#N/A</v>
      </c>
      <c r="BO23" s="53">
        <f>IF(X24&lt;&gt;"",X24,0)</f>
        <v>0</v>
      </c>
      <c r="BP23" s="53" t="e">
        <f>IF(AC24&lt;&gt;"",AC24,0)</f>
        <v>#N/A</v>
      </c>
      <c r="BQ23" s="53" t="e">
        <f>IF(AH24&lt;&gt;"",AH24,0)</f>
        <v>#N/A</v>
      </c>
      <c r="BR23" s="53" t="e">
        <f>IF(AM24&lt;&gt;"",AM24,0)</f>
        <v>#N/A</v>
      </c>
    </row>
    <row r="24" spans="2:70" ht="24" customHeight="1">
      <c r="B24" s="190"/>
      <c r="C24" s="27" t="s">
        <v>78</v>
      </c>
      <c r="D24" s="28" t="e">
        <f>VLOOKUP("後"&amp;$B21&amp;E$39,'１部対戦表'!$R$1:$U$141,2,FALSE)</f>
        <v>#N/A</v>
      </c>
      <c r="E24" s="28" t="e">
        <f>IF(D24&lt;&gt;"",IF(D24&gt;F24,"○",IF(D24&lt;F24,"●","△")),"")</f>
        <v>#N/A</v>
      </c>
      <c r="F24" s="28" t="e">
        <f>VLOOKUP("後"&amp;$B21&amp;E$39,'１部対戦表'!$R$1:$U$141,3,FALSE)</f>
        <v>#N/A</v>
      </c>
      <c r="G24" s="29" t="s">
        <v>79</v>
      </c>
      <c r="H24" s="27" t="s">
        <v>78</v>
      </c>
      <c r="I24" s="28" t="e">
        <f>VLOOKUP("後"&amp;$B21&amp;J$39,'１部対戦表'!$R$1:$U$141,2,FALSE)</f>
        <v>#N/A</v>
      </c>
      <c r="J24" s="28" t="e">
        <f>IF(I24&lt;&gt;"",IF(I24&gt;K24,"○",IF(I24&lt;K24,"●","△")),"")</f>
        <v>#N/A</v>
      </c>
      <c r="K24" s="28" t="e">
        <f>VLOOKUP("後"&amp;$B21&amp;J$39,'１部対戦表'!$R$1:$U$141,3,FALSE)</f>
        <v>#N/A</v>
      </c>
      <c r="L24" s="29" t="s">
        <v>79</v>
      </c>
      <c r="M24" s="27" t="s">
        <v>78</v>
      </c>
      <c r="N24" s="28" t="e">
        <f>VLOOKUP("後"&amp;$B21&amp;O$39,'１部対戦表'!$R$1:$U$141,2,FALSE)</f>
        <v>#N/A</v>
      </c>
      <c r="O24" s="28" t="e">
        <f>IF(N24&lt;&gt;"",IF(N24&gt;P24,"○",IF(N24&lt;P24,"●","△")),"")</f>
        <v>#N/A</v>
      </c>
      <c r="P24" s="28" t="e">
        <f>VLOOKUP("後"&amp;$B21&amp;O$39,'１部対戦表'!$R$1:$U$141,3,FALSE)</f>
        <v>#N/A</v>
      </c>
      <c r="Q24" s="29" t="s">
        <v>79</v>
      </c>
      <c r="R24" s="27" t="s">
        <v>78</v>
      </c>
      <c r="S24" s="28" t="e">
        <f>VLOOKUP("後"&amp;$B21&amp;T$39,'１部対戦表'!$R$1:$U$141,2,FALSE)</f>
        <v>#N/A</v>
      </c>
      <c r="T24" s="28" t="e">
        <f>IF(S24&lt;&gt;"",IF(S24&gt;U24,"○",IF(S24&lt;U24,"●","△")),"")</f>
        <v>#N/A</v>
      </c>
      <c r="U24" s="28" t="e">
        <f>VLOOKUP("後"&amp;$B21&amp;T$39,'１部対戦表'!$R$1:$U$141,3,FALSE)</f>
        <v>#N/A</v>
      </c>
      <c r="V24" s="29" t="s">
        <v>79</v>
      </c>
      <c r="W24" s="147"/>
      <c r="X24" s="148"/>
      <c r="Y24" s="148"/>
      <c r="Z24" s="148"/>
      <c r="AA24" s="149"/>
      <c r="AB24" s="27" t="s">
        <v>78</v>
      </c>
      <c r="AC24" s="28" t="e">
        <f>VLOOKUP("後"&amp;$B21&amp;AD$39,'１部対戦表'!$R$1:$U$141,2,FALSE)</f>
        <v>#N/A</v>
      </c>
      <c r="AD24" s="28" t="e">
        <f>IF(AC24&lt;&gt;"",IF(AC24&gt;AE24,"○",IF(AC24&lt;AE24,"●","△")),"")</f>
        <v>#N/A</v>
      </c>
      <c r="AE24" s="28" t="e">
        <f>VLOOKUP("後"&amp;$B21&amp;AD$39,'１部対戦表'!$R$1:$U$141,3,FALSE)</f>
        <v>#N/A</v>
      </c>
      <c r="AF24" s="29" t="s">
        <v>79</v>
      </c>
      <c r="AG24" s="27" t="s">
        <v>78</v>
      </c>
      <c r="AH24" s="28" t="e">
        <f>VLOOKUP("後"&amp;$B21&amp;AI$39,'１部対戦表'!$R$1:$U$141,2,FALSE)</f>
        <v>#N/A</v>
      </c>
      <c r="AI24" s="28" t="e">
        <f>IF(AH24&lt;&gt;"",IF(AH24&gt;AJ24,"○",IF(AH24&lt;AJ24,"●","△")),"")</f>
        <v>#N/A</v>
      </c>
      <c r="AJ24" s="28" t="e">
        <f>VLOOKUP("後"&amp;$B21&amp;AI$39,'１部対戦表'!$R$1:$U$141,3,FALSE)</f>
        <v>#N/A</v>
      </c>
      <c r="AK24" s="29" t="s">
        <v>79</v>
      </c>
      <c r="AL24" s="27" t="s">
        <v>78</v>
      </c>
      <c r="AM24" s="28" t="e">
        <f>VLOOKUP("後"&amp;$B21&amp;AN$39,'１部対戦表'!$R$1:$U$141,2,FALSE)</f>
        <v>#N/A</v>
      </c>
      <c r="AN24" s="28" t="e">
        <f>IF(AM24&lt;&gt;"",IF(AM24&gt;AO24,"○",IF(AM24&lt;AO24,"●","△")),"")</f>
        <v>#N/A</v>
      </c>
      <c r="AO24" s="28" t="e">
        <f>VLOOKUP("後"&amp;$B21&amp;AN$39,'１部対戦表'!$R$1:$U$141,3,FALSE)</f>
        <v>#N/A</v>
      </c>
      <c r="AP24" s="29" t="s">
        <v>79</v>
      </c>
      <c r="AQ24" s="154"/>
      <c r="AR24" s="183"/>
      <c r="AS24" s="183"/>
      <c r="AT24" s="173"/>
      <c r="AU24" s="165"/>
      <c r="AV24" s="165"/>
      <c r="AW24" s="174"/>
      <c r="AX24" s="152"/>
      <c r="BD24" s="65" t="e">
        <f>SUM(BK21:BR21)+SUM(BK23:BR23)</f>
        <v>#N/A</v>
      </c>
      <c r="BE24" s="65" t="e">
        <f>SUM(BK22:BR22)+SUM(BK24:BR24)</f>
        <v>#N/A</v>
      </c>
      <c r="BF24" s="47" t="e">
        <f>+BD24-BE24</f>
        <v>#N/A</v>
      </c>
      <c r="BG24" s="21"/>
      <c r="BH24" s="21"/>
      <c r="BI24" s="21"/>
      <c r="BJ24" s="21"/>
      <c r="BK24" s="54" t="e">
        <f>IF(F24&lt;&gt;"",F24,0)</f>
        <v>#N/A</v>
      </c>
      <c r="BL24" s="54" t="e">
        <f>IF(K24&lt;&gt;"",K24,0)</f>
        <v>#N/A</v>
      </c>
      <c r="BM24" s="54" t="e">
        <f>IF(P24&lt;&gt;"",P24,0)</f>
        <v>#N/A</v>
      </c>
      <c r="BN24" s="54" t="e">
        <f>IF(U24&lt;&gt;"",U24,0)</f>
        <v>#N/A</v>
      </c>
      <c r="BO24" s="54">
        <f>IF(Z24&lt;&gt;"",Z24,0)</f>
        <v>0</v>
      </c>
      <c r="BP24" s="54" t="e">
        <f>IF(AE24&lt;&gt;"",AE24,0)</f>
        <v>#N/A</v>
      </c>
      <c r="BQ24" s="54" t="e">
        <f>IF(AJ24&lt;&gt;"",AJ24,0)</f>
        <v>#N/A</v>
      </c>
      <c r="BR24" s="54" t="e">
        <f>IF(AO24&lt;&gt;"",AO24,0)</f>
        <v>#N/A</v>
      </c>
    </row>
    <row r="25" spans="2:70" ht="24" customHeight="1" thickBot="1">
      <c r="B25" s="59" t="str">
        <f>+AX63</f>
        <v>Ｆ</v>
      </c>
      <c r="C25" s="138">
        <f>VLOOKUP("前"&amp;$B25&amp;E$39,'１部対戦表'!$R$1:$U$141,4,FALSE)</f>
        <v>40350</v>
      </c>
      <c r="D25" s="139"/>
      <c r="E25" s="139"/>
      <c r="F25" s="139"/>
      <c r="G25" s="140"/>
      <c r="H25" s="138">
        <f>VLOOKUP("前"&amp;$B25&amp;J$39,'１部対戦表'!$R$1:$U$141,4,FALSE)</f>
        <v>40364</v>
      </c>
      <c r="I25" s="139"/>
      <c r="J25" s="139"/>
      <c r="K25" s="139"/>
      <c r="L25" s="140"/>
      <c r="M25" s="138">
        <f>VLOOKUP("前"&amp;$B25&amp;O$39,'１部対戦表'!$R$1:$U$141,4,FALSE)</f>
        <v>40315</v>
      </c>
      <c r="N25" s="139"/>
      <c r="O25" s="139"/>
      <c r="P25" s="139"/>
      <c r="Q25" s="140"/>
      <c r="R25" s="138">
        <f>VLOOKUP("前"&amp;$B25&amp;T$39,'１部対戦表'!$R$1:$U$141,4,FALSE)</f>
        <v>40343</v>
      </c>
      <c r="S25" s="139"/>
      <c r="T25" s="139"/>
      <c r="U25" s="139"/>
      <c r="V25" s="140"/>
      <c r="W25" s="138">
        <f>VLOOKUP("前"&amp;$B25&amp;Y$39,'１部対戦表'!$R$1:$U$141,4,FALSE)</f>
        <v>40399</v>
      </c>
      <c r="X25" s="139"/>
      <c r="Y25" s="139"/>
      <c r="Z25" s="139"/>
      <c r="AA25" s="140"/>
      <c r="AB25" s="141"/>
      <c r="AC25" s="142"/>
      <c r="AD25" s="142"/>
      <c r="AE25" s="142"/>
      <c r="AF25" s="143"/>
      <c r="AG25" s="138">
        <f>VLOOKUP("前"&amp;$B25&amp;AI$39,'１部対戦表'!$R$1:$U$141,4,FALSE)</f>
        <v>40379</v>
      </c>
      <c r="AH25" s="139"/>
      <c r="AI25" s="139"/>
      <c r="AJ25" s="139"/>
      <c r="AK25" s="140"/>
      <c r="AL25" s="138">
        <f>VLOOKUP("前"&amp;$B25&amp;AN$39,'１部対戦表'!$R$1:$U$141,4,FALSE)</f>
        <v>40392</v>
      </c>
      <c r="AM25" s="139"/>
      <c r="AN25" s="139"/>
      <c r="AO25" s="139"/>
      <c r="AP25" s="140"/>
      <c r="AQ25" s="153">
        <f>IF(AND($BD26=0,$BE26=0,$BF26=0),"",BD26)</f>
      </c>
      <c r="AR25" s="169">
        <f>IF(AND($BD26=0,$BE26=0,$BF26=0),"",BE26)</f>
      </c>
      <c r="AS25" s="169">
        <f>IF(AND($BD26=0,$BE26=0,$BF26=0),"",BF26)</f>
      </c>
      <c r="AT25" s="171">
        <f>IF(AND($BD26=0,$BE26=0,$BF26=0),"",BG26+AZ26)</f>
      </c>
      <c r="AU25" s="165">
        <f>IF(AND($BD26=0,$BE26=0,$BF26=0),"",BD28)</f>
      </c>
      <c r="AV25" s="165">
        <f>IF(AND($BD26=0,$BE26=0,$BF26=0),"",BE28)</f>
      </c>
      <c r="AW25" s="174">
        <f>IF(AND($BD26=0,$BE26=0,$BF26=0),"",BF28)</f>
      </c>
      <c r="AX25" s="150">
        <f>IF(AND($BD26=0,$BE26=0,$BF26=0),"",RANK(BI27,BI$7:BI$35))</f>
      </c>
      <c r="BD25" s="57" t="s">
        <v>86</v>
      </c>
      <c r="BE25" s="57" t="s">
        <v>87</v>
      </c>
      <c r="BF25" s="57" t="s">
        <v>88</v>
      </c>
      <c r="BG25" s="57" t="s">
        <v>89</v>
      </c>
      <c r="BH25" s="20"/>
      <c r="BI25" s="20"/>
      <c r="BJ25" s="20"/>
      <c r="BK25" s="52">
        <f>IF(D26&lt;&gt;"",D26,0)</f>
        <v>0</v>
      </c>
      <c r="BL25" s="52">
        <f>IF(I26&lt;&gt;"",I26,0)</f>
        <v>0</v>
      </c>
      <c r="BM25" s="52">
        <f>IF(N26&lt;&gt;"",N26,0)</f>
        <v>0</v>
      </c>
      <c r="BN25" s="52">
        <f>IF(S26&lt;&gt;"",S26,0)</f>
        <v>0</v>
      </c>
      <c r="BO25" s="52">
        <f>IF(X26&lt;&gt;"",X26,0)</f>
        <v>0</v>
      </c>
      <c r="BP25" s="52">
        <f>IF(AC26&lt;&gt;"",AC26,0)</f>
        <v>0</v>
      </c>
      <c r="BQ25" s="52">
        <f>IF(AH26&lt;&gt;"",AH26,0)</f>
        <v>0</v>
      </c>
      <c r="BR25" s="52">
        <f>IF(AM26&lt;&gt;"",AM26,0)</f>
        <v>0</v>
      </c>
    </row>
    <row r="26" spans="2:70" ht="24" customHeight="1">
      <c r="B26" s="155" t="str">
        <f>VLOOKUP(B25,'参加チーム'!$B$5:$F$73,IF($AQ$3=1,3,4),FALSE)</f>
        <v>volviendo</v>
      </c>
      <c r="C26" s="30" t="s">
        <v>78</v>
      </c>
      <c r="D26" s="31">
        <f>VLOOKUP("前"&amp;$B25&amp;E$39,'１部対戦表'!$R$1:$U$141,2,FALSE)</f>
      </c>
      <c r="E26" s="31">
        <f>IF(D26&lt;&gt;"",IF(D26&gt;F26,"○",IF(D26&lt;F26,"●","△")),"")</f>
      </c>
      <c r="F26" s="31">
        <f>VLOOKUP("前"&amp;$B25&amp;E$39,'１部対戦表'!$R$1:$U$141,3,FALSE)</f>
      </c>
      <c r="G26" s="32" t="s">
        <v>79</v>
      </c>
      <c r="H26" s="30" t="s">
        <v>78</v>
      </c>
      <c r="I26" s="31">
        <f>VLOOKUP("前"&amp;$B25&amp;J$39,'１部対戦表'!$R$1:$U$141,2,FALSE)</f>
      </c>
      <c r="J26" s="31">
        <f>IF(I26&lt;&gt;"",IF(I26&gt;K26,"○",IF(I26&lt;K26,"●","△")),"")</f>
      </c>
      <c r="K26" s="31">
        <f>VLOOKUP("前"&amp;$B25&amp;J$39,'１部対戦表'!$R$1:$U$141,3,FALSE)</f>
      </c>
      <c r="L26" s="32" t="s">
        <v>79</v>
      </c>
      <c r="M26" s="30" t="s">
        <v>78</v>
      </c>
      <c r="N26" s="31">
        <f>VLOOKUP("前"&amp;$B25&amp;O$39,'１部対戦表'!$R$1:$U$141,2,FALSE)</f>
      </c>
      <c r="O26" s="31">
        <f>IF(N26&lt;&gt;"",IF(N26&gt;P26,"○",IF(N26&lt;P26,"●","△")),"")</f>
      </c>
      <c r="P26" s="31">
        <f>VLOOKUP("前"&amp;$B25&amp;O$39,'１部対戦表'!$R$1:$U$141,3,FALSE)</f>
      </c>
      <c r="Q26" s="32" t="s">
        <v>79</v>
      </c>
      <c r="R26" s="30" t="s">
        <v>78</v>
      </c>
      <c r="S26" s="31">
        <f>VLOOKUP("前"&amp;$B25&amp;T$39,'１部対戦表'!$R$1:$U$141,2,FALSE)</f>
      </c>
      <c r="T26" s="31">
        <f>IF(S26&lt;&gt;"",IF(S26&gt;U26,"○",IF(S26&lt;U26,"●","△")),"")</f>
      </c>
      <c r="U26" s="31">
        <f>VLOOKUP("前"&amp;$B25&amp;T$39,'１部対戦表'!$R$1:$U$141,3,FALSE)</f>
      </c>
      <c r="V26" s="32" t="s">
        <v>79</v>
      </c>
      <c r="W26" s="30" t="s">
        <v>78</v>
      </c>
      <c r="X26" s="31">
        <f>VLOOKUP("前"&amp;$B25&amp;Y$39,'１部対戦表'!$R$1:$U$141,2,FALSE)</f>
      </c>
      <c r="Y26" s="31">
        <f>IF(X26&lt;&gt;"",IF(X26&gt;Z26,"○",IF(X26&lt;Z26,"●","△")),"")</f>
      </c>
      <c r="Z26" s="31">
        <f>VLOOKUP("前"&amp;$B25&amp;Y$39,'１部対戦表'!$R$1:$U$141,3,FALSE)</f>
      </c>
      <c r="AA26" s="32" t="s">
        <v>79</v>
      </c>
      <c r="AB26" s="144"/>
      <c r="AC26" s="145"/>
      <c r="AD26" s="145"/>
      <c r="AE26" s="145"/>
      <c r="AF26" s="146"/>
      <c r="AG26" s="30" t="s">
        <v>78</v>
      </c>
      <c r="AH26" s="31">
        <f>VLOOKUP("前"&amp;$B25&amp;AI$39,'１部対戦表'!$R$1:$U$141,2,FALSE)</f>
      </c>
      <c r="AI26" s="31">
        <f>IF(AH26&lt;&gt;"",IF(AH26&gt;AJ26,"○",IF(AH26&lt;AJ26,"●","△")),"")</f>
      </c>
      <c r="AJ26" s="31">
        <f>VLOOKUP("前"&amp;$B25&amp;AI$39,'１部対戦表'!$R$1:$U$141,3,FALSE)</f>
      </c>
      <c r="AK26" s="32" t="s">
        <v>79</v>
      </c>
      <c r="AL26" s="30" t="s">
        <v>78</v>
      </c>
      <c r="AM26" s="31">
        <f>VLOOKUP("前"&amp;$B25&amp;AN$39,'１部対戦表'!$R$1:$U$141,2,FALSE)</f>
      </c>
      <c r="AN26" s="31">
        <f>IF(AM26&lt;&gt;"",IF(AM26&gt;AO26,"○",IF(AM26&lt;AO26,"●","△")),"")</f>
      </c>
      <c r="AO26" s="31">
        <f>VLOOKUP("前"&amp;$B25&amp;AN$39,'１部対戦表'!$R$1:$U$141,3,FALSE)</f>
      </c>
      <c r="AP26" s="32" t="s">
        <v>79</v>
      </c>
      <c r="AQ26" s="153"/>
      <c r="AR26" s="169"/>
      <c r="AS26" s="169"/>
      <c r="AT26" s="172"/>
      <c r="AU26" s="165"/>
      <c r="AV26" s="165"/>
      <c r="AW26" s="174"/>
      <c r="AX26" s="151"/>
      <c r="AZ26" s="158"/>
      <c r="BB26" s="124" t="s">
        <v>176</v>
      </c>
      <c r="BD26" s="22">
        <f>COUNTIF($C25:$AP28,"○")</f>
        <v>0</v>
      </c>
      <c r="BE26" s="22">
        <f>COUNTIF($C25:$AP28,"△")</f>
        <v>0</v>
      </c>
      <c r="BF26" s="22">
        <f>COUNTIF($C25:$AP28,"●")</f>
        <v>0</v>
      </c>
      <c r="BG26" s="57">
        <f>BD26*3+BE26</f>
        <v>0</v>
      </c>
      <c r="BH26" s="20"/>
      <c r="BI26" s="20"/>
      <c r="BJ26" s="20"/>
      <c r="BK26" s="53">
        <f>IF(F26&lt;&gt;"",F26,0)</f>
        <v>0</v>
      </c>
      <c r="BL26" s="53">
        <f>IF(K26&lt;&gt;"",K26,0)</f>
        <v>0</v>
      </c>
      <c r="BM26" s="53">
        <f>IF(P26&lt;&gt;"",P26,0)</f>
        <v>0</v>
      </c>
      <c r="BN26" s="53">
        <f>IF(U26&lt;&gt;"",U26,0)</f>
        <v>0</v>
      </c>
      <c r="BO26" s="53">
        <f>IF(Z26&lt;&gt;"",Z26,0)</f>
        <v>0</v>
      </c>
      <c r="BP26" s="53">
        <f>IF(AE26&lt;&gt;"",AE26,0)</f>
        <v>0</v>
      </c>
      <c r="BQ26" s="53">
        <f>IF(AJ26&lt;&gt;"",AJ26,0)</f>
        <v>0</v>
      </c>
      <c r="BR26" s="53">
        <f>IF(AO26&lt;&gt;"",AO26,0)</f>
        <v>0</v>
      </c>
    </row>
    <row r="27" spans="2:70" ht="24" customHeight="1" thickBot="1">
      <c r="B27" s="155"/>
      <c r="C27" s="135" t="e">
        <f>VLOOKUP("後"&amp;$B25&amp;E$39,'１部対戦表'!$R$1:$U$141,4,FALSE)</f>
        <v>#N/A</v>
      </c>
      <c r="D27" s="136"/>
      <c r="E27" s="136"/>
      <c r="F27" s="136"/>
      <c r="G27" s="137"/>
      <c r="H27" s="135" t="e">
        <f>VLOOKUP("後"&amp;$B25&amp;J$39,'１部対戦表'!$R$1:$U$141,4,FALSE)</f>
        <v>#N/A</v>
      </c>
      <c r="I27" s="136"/>
      <c r="J27" s="136"/>
      <c r="K27" s="136"/>
      <c r="L27" s="137"/>
      <c r="M27" s="135" t="e">
        <f>VLOOKUP("後"&amp;$B25&amp;O$39,'１部対戦表'!$R$1:$U$141,4,FALSE)</f>
        <v>#N/A</v>
      </c>
      <c r="N27" s="136"/>
      <c r="O27" s="136"/>
      <c r="P27" s="136"/>
      <c r="Q27" s="137"/>
      <c r="R27" s="135" t="e">
        <f>VLOOKUP("後"&amp;$B25&amp;T$39,'１部対戦表'!$R$1:$U$141,4,FALSE)</f>
        <v>#N/A</v>
      </c>
      <c r="S27" s="136"/>
      <c r="T27" s="136"/>
      <c r="U27" s="136"/>
      <c r="V27" s="137"/>
      <c r="W27" s="135" t="e">
        <f>VLOOKUP("後"&amp;$B25&amp;Y$39,'１部対戦表'!$R$1:$U$141,4,FALSE)</f>
        <v>#N/A</v>
      </c>
      <c r="X27" s="136"/>
      <c r="Y27" s="136"/>
      <c r="Z27" s="136"/>
      <c r="AA27" s="137"/>
      <c r="AB27" s="144"/>
      <c r="AC27" s="145"/>
      <c r="AD27" s="145"/>
      <c r="AE27" s="145"/>
      <c r="AF27" s="146"/>
      <c r="AG27" s="135" t="e">
        <f>VLOOKUP("後"&amp;$B25&amp;AI$39,'１部対戦表'!$R$1:$U$141,4,FALSE)</f>
        <v>#N/A</v>
      </c>
      <c r="AH27" s="136"/>
      <c r="AI27" s="136"/>
      <c r="AJ27" s="136"/>
      <c r="AK27" s="137"/>
      <c r="AL27" s="135" t="e">
        <f>VLOOKUP("後"&amp;$B25&amp;AN$39,'１部対戦表'!$R$1:$U$141,4,FALSE)</f>
        <v>#N/A</v>
      </c>
      <c r="AM27" s="136"/>
      <c r="AN27" s="136"/>
      <c r="AO27" s="136"/>
      <c r="AP27" s="137"/>
      <c r="AQ27" s="153"/>
      <c r="AR27" s="169"/>
      <c r="AS27" s="169"/>
      <c r="AT27" s="172"/>
      <c r="AU27" s="165"/>
      <c r="AV27" s="165"/>
      <c r="AW27" s="174"/>
      <c r="AX27" s="151"/>
      <c r="AZ27" s="159"/>
      <c r="BB27" s="125"/>
      <c r="BD27" s="65" t="s">
        <v>90</v>
      </c>
      <c r="BE27" s="65" t="s">
        <v>91</v>
      </c>
      <c r="BF27" s="65" t="s">
        <v>92</v>
      </c>
      <c r="BG27" s="21"/>
      <c r="BH27" s="21" t="s">
        <v>98</v>
      </c>
      <c r="BI27" s="55">
        <f>IF(AND(BD26=0,BE26=0,BF26=0),0,+AT25*1000+AW25)</f>
        <v>0</v>
      </c>
      <c r="BJ27" s="56"/>
      <c r="BK27" s="53" t="e">
        <f>IF(D28&lt;&gt;"",D28,0)</f>
        <v>#N/A</v>
      </c>
      <c r="BL27" s="53" t="e">
        <f>IF(I28&lt;&gt;"",I28,0)</f>
        <v>#N/A</v>
      </c>
      <c r="BM27" s="53" t="e">
        <f>IF(N28&lt;&gt;"",N28,0)</f>
        <v>#N/A</v>
      </c>
      <c r="BN27" s="53" t="e">
        <f>IF(S28&lt;&gt;"",S28,0)</f>
        <v>#N/A</v>
      </c>
      <c r="BO27" s="53" t="e">
        <f>IF(X28&lt;&gt;"",X28,0)</f>
        <v>#N/A</v>
      </c>
      <c r="BP27" s="53">
        <f>IF(AC28&lt;&gt;"",AC28,0)</f>
        <v>0</v>
      </c>
      <c r="BQ27" s="53" t="e">
        <f>IF(AH28&lt;&gt;"",AH28,0)</f>
        <v>#N/A</v>
      </c>
      <c r="BR27" s="53" t="e">
        <f>IF(AM28&lt;&gt;"",AM28,0)</f>
        <v>#N/A</v>
      </c>
    </row>
    <row r="28" spans="2:70" ht="24" customHeight="1">
      <c r="B28" s="190"/>
      <c r="C28" s="27" t="s">
        <v>78</v>
      </c>
      <c r="D28" s="28" t="e">
        <f>VLOOKUP("後"&amp;$B25&amp;E$39,'１部対戦表'!$R$1:$U$141,2,FALSE)</f>
        <v>#N/A</v>
      </c>
      <c r="E28" s="28" t="e">
        <f>IF(D28&lt;&gt;"",IF(D28&gt;F28,"○",IF(D28&lt;F28,"●","△")),"")</f>
        <v>#N/A</v>
      </c>
      <c r="F28" s="28" t="e">
        <f>VLOOKUP("後"&amp;$B25&amp;E$39,'１部対戦表'!$R$1:$U$141,3,FALSE)</f>
        <v>#N/A</v>
      </c>
      <c r="G28" s="29" t="s">
        <v>79</v>
      </c>
      <c r="H28" s="27" t="s">
        <v>78</v>
      </c>
      <c r="I28" s="28" t="e">
        <f>VLOOKUP("後"&amp;$B25&amp;J$39,'１部対戦表'!$R$1:$U$141,2,FALSE)</f>
        <v>#N/A</v>
      </c>
      <c r="J28" s="28" t="e">
        <f>IF(I28&lt;&gt;"",IF(I28&gt;K28,"○",IF(I28&lt;K28,"●","△")),"")</f>
        <v>#N/A</v>
      </c>
      <c r="K28" s="28" t="e">
        <f>VLOOKUP("後"&amp;$B25&amp;J$39,'１部対戦表'!$R$1:$U$141,3,FALSE)</f>
        <v>#N/A</v>
      </c>
      <c r="L28" s="29" t="s">
        <v>79</v>
      </c>
      <c r="M28" s="27" t="s">
        <v>78</v>
      </c>
      <c r="N28" s="28" t="e">
        <f>VLOOKUP("後"&amp;$B25&amp;O$39,'１部対戦表'!$R$1:$U$141,2,FALSE)</f>
        <v>#N/A</v>
      </c>
      <c r="O28" s="28" t="e">
        <f>IF(N28&lt;&gt;"",IF(N28&gt;P28,"○",IF(N28&lt;P28,"●","△")),"")</f>
        <v>#N/A</v>
      </c>
      <c r="P28" s="28" t="e">
        <f>VLOOKUP("後"&amp;$B25&amp;O$39,'１部対戦表'!$R$1:$U$141,3,FALSE)</f>
        <v>#N/A</v>
      </c>
      <c r="Q28" s="29" t="s">
        <v>79</v>
      </c>
      <c r="R28" s="27" t="s">
        <v>78</v>
      </c>
      <c r="S28" s="28" t="e">
        <f>VLOOKUP("後"&amp;$B25&amp;T$39,'１部対戦表'!$R$1:$U$141,2,FALSE)</f>
        <v>#N/A</v>
      </c>
      <c r="T28" s="28" t="e">
        <f>IF(S28&lt;&gt;"",IF(S28&gt;U28,"○",IF(S28&lt;U28,"●","△")),"")</f>
        <v>#N/A</v>
      </c>
      <c r="U28" s="28" t="e">
        <f>VLOOKUP("後"&amp;$B25&amp;T$39,'１部対戦表'!$R$1:$U$141,3,FALSE)</f>
        <v>#N/A</v>
      </c>
      <c r="V28" s="29" t="s">
        <v>79</v>
      </c>
      <c r="W28" s="27" t="s">
        <v>78</v>
      </c>
      <c r="X28" s="28" t="e">
        <f>VLOOKUP("後"&amp;$B25&amp;Y$39,'１部対戦表'!$R$1:$U$141,2,FALSE)</f>
        <v>#N/A</v>
      </c>
      <c r="Y28" s="28" t="e">
        <f>IF(X28&lt;&gt;"",IF(X28&gt;Z28,"○",IF(X28&lt;Z28,"●","△")),"")</f>
        <v>#N/A</v>
      </c>
      <c r="Z28" s="28" t="e">
        <f>VLOOKUP("後"&amp;$B25&amp;Y$39,'１部対戦表'!$R$1:$U$141,3,FALSE)</f>
        <v>#N/A</v>
      </c>
      <c r="AA28" s="29" t="s">
        <v>79</v>
      </c>
      <c r="AB28" s="147"/>
      <c r="AC28" s="148"/>
      <c r="AD28" s="148"/>
      <c r="AE28" s="148"/>
      <c r="AF28" s="149"/>
      <c r="AG28" s="27" t="s">
        <v>78</v>
      </c>
      <c r="AH28" s="28" t="e">
        <f>VLOOKUP("後"&amp;$B25&amp;AI$39,'１部対戦表'!$R$1:$U$141,2,FALSE)</f>
        <v>#N/A</v>
      </c>
      <c r="AI28" s="28" t="e">
        <f>IF(AH28&lt;&gt;"",IF(AH28&gt;AJ28,"○",IF(AH28&lt;AJ28,"●","△")),"")</f>
        <v>#N/A</v>
      </c>
      <c r="AJ28" s="28" t="e">
        <f>VLOOKUP("後"&amp;$B25&amp;AI$39,'１部対戦表'!$R$1:$U$141,3,FALSE)</f>
        <v>#N/A</v>
      </c>
      <c r="AK28" s="29" t="s">
        <v>79</v>
      </c>
      <c r="AL28" s="27" t="s">
        <v>78</v>
      </c>
      <c r="AM28" s="28" t="e">
        <f>VLOOKUP("後"&amp;$B25&amp;AN$39,'１部対戦表'!$R$1:$U$141,2,FALSE)</f>
        <v>#N/A</v>
      </c>
      <c r="AN28" s="28" t="e">
        <f>IF(AM28&lt;&gt;"",IF(AM28&gt;AO28,"○",IF(AM28&lt;AO28,"●","△")),"")</f>
        <v>#N/A</v>
      </c>
      <c r="AO28" s="28" t="e">
        <f>VLOOKUP("後"&amp;$B25&amp;AN$39,'１部対戦表'!$R$1:$U$141,3,FALSE)</f>
        <v>#N/A</v>
      </c>
      <c r="AP28" s="29" t="s">
        <v>79</v>
      </c>
      <c r="AQ28" s="154"/>
      <c r="AR28" s="183"/>
      <c r="AS28" s="183"/>
      <c r="AT28" s="173"/>
      <c r="AU28" s="165"/>
      <c r="AV28" s="165"/>
      <c r="AW28" s="174"/>
      <c r="AX28" s="152"/>
      <c r="BD28" s="65" t="e">
        <f>SUM(BK25:BR25)+SUM(BK27:BR27)</f>
        <v>#N/A</v>
      </c>
      <c r="BE28" s="65" t="e">
        <f>SUM(BK26:BR26)+SUM(BK28:BR28)</f>
        <v>#N/A</v>
      </c>
      <c r="BF28" s="47" t="e">
        <f>+BD28-BE28</f>
        <v>#N/A</v>
      </c>
      <c r="BG28" s="21"/>
      <c r="BH28" s="21"/>
      <c r="BI28" s="21"/>
      <c r="BJ28" s="21"/>
      <c r="BK28" s="54" t="e">
        <f>IF(F28&lt;&gt;"",F28,0)</f>
        <v>#N/A</v>
      </c>
      <c r="BL28" s="54" t="e">
        <f>IF(K28&lt;&gt;"",K28,0)</f>
        <v>#N/A</v>
      </c>
      <c r="BM28" s="54" t="e">
        <f>IF(P28&lt;&gt;"",P28,0)</f>
        <v>#N/A</v>
      </c>
      <c r="BN28" s="54" t="e">
        <f>IF(U28&lt;&gt;"",U28,0)</f>
        <v>#N/A</v>
      </c>
      <c r="BO28" s="54" t="e">
        <f>IF(Z28&lt;&gt;"",Z28,0)</f>
        <v>#N/A</v>
      </c>
      <c r="BP28" s="54">
        <f>IF(AE28&lt;&gt;"",AE28,0)</f>
        <v>0</v>
      </c>
      <c r="BQ28" s="54" t="e">
        <f>IF(AJ28&lt;&gt;"",AJ28,0)</f>
        <v>#N/A</v>
      </c>
      <c r="BR28" s="54" t="e">
        <f>IF(AO28&lt;&gt;"",AO28,0)</f>
        <v>#N/A</v>
      </c>
    </row>
    <row r="29" spans="2:70" ht="24" customHeight="1" thickBot="1">
      <c r="B29" s="59" t="str">
        <f>+AX64</f>
        <v>G</v>
      </c>
      <c r="C29" s="138">
        <f>VLOOKUP("前"&amp;$B29&amp;E$39,'１部対戦表'!$R$1:$U$141,4,FALSE)</f>
        <v>40343</v>
      </c>
      <c r="D29" s="139"/>
      <c r="E29" s="139"/>
      <c r="F29" s="139"/>
      <c r="G29" s="140"/>
      <c r="H29" s="138">
        <f>VLOOKUP("前"&amp;$B29&amp;J$39,'１部対戦表'!$R$1:$U$141,4,FALSE)</f>
        <v>40315</v>
      </c>
      <c r="I29" s="139"/>
      <c r="J29" s="139"/>
      <c r="K29" s="139"/>
      <c r="L29" s="140"/>
      <c r="M29" s="138">
        <f>VLOOKUP("前"&amp;$B29&amp;O$39,'１部対戦表'!$R$1:$U$141,4,FALSE)</f>
        <v>40399</v>
      </c>
      <c r="N29" s="139"/>
      <c r="O29" s="139"/>
      <c r="P29" s="139"/>
      <c r="Q29" s="140"/>
      <c r="R29" s="138">
        <f>VLOOKUP("前"&amp;$B29&amp;T$39,'１部対戦表'!$R$1:$U$141,4,FALSE)</f>
        <v>40350</v>
      </c>
      <c r="S29" s="139"/>
      <c r="T29" s="139"/>
      <c r="U29" s="139"/>
      <c r="V29" s="140"/>
      <c r="W29" s="138">
        <f>VLOOKUP("前"&amp;$B29&amp;Y$39,'１部対戦表'!$R$1:$U$141,4,FALSE)</f>
        <v>40392</v>
      </c>
      <c r="X29" s="139"/>
      <c r="Y29" s="139"/>
      <c r="Z29" s="139"/>
      <c r="AA29" s="140"/>
      <c r="AB29" s="138">
        <f>VLOOKUP("前"&amp;$B29&amp;AD$39,'１部対戦表'!$R$1:$U$141,4,FALSE)</f>
        <v>40379</v>
      </c>
      <c r="AC29" s="139"/>
      <c r="AD29" s="139"/>
      <c r="AE29" s="139"/>
      <c r="AF29" s="140"/>
      <c r="AG29" s="141"/>
      <c r="AH29" s="142"/>
      <c r="AI29" s="142"/>
      <c r="AJ29" s="142"/>
      <c r="AK29" s="143"/>
      <c r="AL29" s="138">
        <f>VLOOKUP("前"&amp;$B29&amp;AN$39,'１部対戦表'!$R$1:$U$141,4,FALSE)</f>
        <v>40364</v>
      </c>
      <c r="AM29" s="139"/>
      <c r="AN29" s="139"/>
      <c r="AO29" s="139"/>
      <c r="AP29" s="140"/>
      <c r="AQ29" s="153">
        <f>IF(AND($BD30=0,$BE30=0,$BF30=0),"",BD30)</f>
      </c>
      <c r="AR29" s="169">
        <f>IF(AND($BD30=0,$BE30=0,$BF30=0),"",BE30)</f>
      </c>
      <c r="AS29" s="169">
        <f>IF(AND($BD30=0,$BE30=0,$BF30=0),"",BF30)</f>
      </c>
      <c r="AT29" s="171">
        <f>IF(AND($BD30=0,$BE30=0,$BF30=0),"",BG30+AZ30)</f>
      </c>
      <c r="AU29" s="165">
        <f>IF(AND($BD30=0,$BE30=0,$BF30=0),"",BD32)</f>
      </c>
      <c r="AV29" s="165">
        <f>IF(AND($BD30=0,$BE30=0,$BF30=0),"",BE32)</f>
      </c>
      <c r="AW29" s="174">
        <f>IF(AND($BD30=0,$BE30=0,$BF30=0),"",BF32)</f>
      </c>
      <c r="AX29" s="150">
        <f>IF(AND($BD30=0,$BE30=0,$BF30=0),"",RANK(BI31,BI$7:BI$35))</f>
      </c>
      <c r="BD29" s="57" t="s">
        <v>86</v>
      </c>
      <c r="BE29" s="57" t="s">
        <v>87</v>
      </c>
      <c r="BF29" s="57" t="s">
        <v>88</v>
      </c>
      <c r="BG29" s="57" t="s">
        <v>89</v>
      </c>
      <c r="BH29" s="20"/>
      <c r="BI29" s="20"/>
      <c r="BJ29" s="20"/>
      <c r="BK29" s="52">
        <f>IF(D30&lt;&gt;"",D30,0)</f>
        <v>0</v>
      </c>
      <c r="BL29" s="52">
        <f>IF(I30&lt;&gt;"",I30,0)</f>
        <v>0</v>
      </c>
      <c r="BM29" s="52">
        <f>IF(N30&lt;&gt;"",N30,0)</f>
        <v>0</v>
      </c>
      <c r="BN29" s="52">
        <f>IF(S30&lt;&gt;"",S30,0)</f>
        <v>0</v>
      </c>
      <c r="BO29" s="52">
        <f>IF(X30&lt;&gt;"",X30,0)</f>
        <v>0</v>
      </c>
      <c r="BP29" s="52">
        <f>IF(AC30&lt;&gt;"",AC30,0)</f>
        <v>0</v>
      </c>
      <c r="BQ29" s="52">
        <f>IF(AH30&lt;&gt;"",AH30,0)</f>
        <v>0</v>
      </c>
      <c r="BR29" s="52">
        <f>IF(AM30&lt;&gt;"",AM30,0)</f>
        <v>0</v>
      </c>
    </row>
    <row r="30" spans="2:70" ht="24" customHeight="1">
      <c r="B30" s="155" t="str">
        <f>VLOOKUP(B29,'参加チーム'!$B$5:$F$73,IF($AQ$3=1,3,4),FALSE)</f>
        <v>東北大学</v>
      </c>
      <c r="C30" s="30" t="s">
        <v>78</v>
      </c>
      <c r="D30" s="31">
        <f>VLOOKUP("前"&amp;$B29&amp;E$39,'１部対戦表'!$R$1:$U$141,2,FALSE)</f>
      </c>
      <c r="E30" s="31">
        <f>IF(D30&lt;&gt;"",IF(D30&gt;F30,"○",IF(D30&lt;F30,"●","△")),"")</f>
      </c>
      <c r="F30" s="31">
        <f>VLOOKUP("前"&amp;$B29&amp;E$39,'１部対戦表'!$R$1:$U$141,3,FALSE)</f>
      </c>
      <c r="G30" s="32" t="s">
        <v>79</v>
      </c>
      <c r="H30" s="30" t="s">
        <v>78</v>
      </c>
      <c r="I30" s="31">
        <f>VLOOKUP("前"&amp;$B29&amp;J$39,'１部対戦表'!$R$1:$U$141,2,FALSE)</f>
      </c>
      <c r="J30" s="31">
        <f>IF(I30&lt;&gt;"",IF(I30&gt;K30,"○",IF(I30&lt;K30,"●","△")),"")</f>
      </c>
      <c r="K30" s="31">
        <f>VLOOKUP("前"&amp;$B29&amp;J$39,'１部対戦表'!$R$1:$U$141,3,FALSE)</f>
      </c>
      <c r="L30" s="32" t="s">
        <v>79</v>
      </c>
      <c r="M30" s="30" t="s">
        <v>78</v>
      </c>
      <c r="N30" s="31">
        <f>VLOOKUP("前"&amp;$B29&amp;O$39,'１部対戦表'!$R$1:$U$141,2,FALSE)</f>
      </c>
      <c r="O30" s="31">
        <f>IF(N30&lt;&gt;"",IF(N30&gt;P30,"○",IF(N30&lt;P30,"●","△")),"")</f>
      </c>
      <c r="P30" s="31">
        <f>VLOOKUP("前"&amp;$B29&amp;O$39,'１部対戦表'!$R$1:$U$141,3,FALSE)</f>
      </c>
      <c r="Q30" s="32" t="s">
        <v>79</v>
      </c>
      <c r="R30" s="30" t="s">
        <v>78</v>
      </c>
      <c r="S30" s="31">
        <f>VLOOKUP("前"&amp;$B29&amp;T$39,'１部対戦表'!$R$1:$U$141,2,FALSE)</f>
      </c>
      <c r="T30" s="31">
        <f>IF(S30&lt;&gt;"",IF(S30&gt;U30,"○",IF(S30&lt;U30,"●","△")),"")</f>
      </c>
      <c r="U30" s="31">
        <f>VLOOKUP("前"&amp;$B29&amp;T$39,'１部対戦表'!$R$1:$U$141,3,FALSE)</f>
      </c>
      <c r="V30" s="32" t="s">
        <v>79</v>
      </c>
      <c r="W30" s="30" t="s">
        <v>78</v>
      </c>
      <c r="X30" s="31">
        <f>VLOOKUP("前"&amp;$B29&amp;Y$39,'１部対戦表'!$R$1:$U$141,2,FALSE)</f>
      </c>
      <c r="Y30" s="31">
        <f>IF(X30&lt;&gt;"",IF(X30&gt;Z30,"○",IF(X30&lt;Z30,"●","△")),"")</f>
      </c>
      <c r="Z30" s="31">
        <f>VLOOKUP("前"&amp;$B29&amp;Y$39,'１部対戦表'!$R$1:$U$141,3,FALSE)</f>
      </c>
      <c r="AA30" s="32" t="s">
        <v>79</v>
      </c>
      <c r="AB30" s="30" t="s">
        <v>78</v>
      </c>
      <c r="AC30" s="31">
        <f>VLOOKUP("前"&amp;$B29&amp;AD$39,'１部対戦表'!$R$1:$U$141,2,FALSE)</f>
      </c>
      <c r="AD30" s="31">
        <f>IF(AC30&lt;&gt;"",IF(AC30&gt;AE30,"○",IF(AC30&lt;AE30,"●","△")),"")</f>
      </c>
      <c r="AE30" s="31">
        <f>VLOOKUP("前"&amp;$B29&amp;AD$39,'１部対戦表'!$R$1:$U$141,3,FALSE)</f>
      </c>
      <c r="AF30" s="32" t="s">
        <v>79</v>
      </c>
      <c r="AG30" s="144"/>
      <c r="AH30" s="145"/>
      <c r="AI30" s="145"/>
      <c r="AJ30" s="145"/>
      <c r="AK30" s="146"/>
      <c r="AL30" s="30" t="s">
        <v>78</v>
      </c>
      <c r="AM30" s="31">
        <f>VLOOKUP("前"&amp;$B29&amp;AN$39,'１部対戦表'!$R$1:$U$141,2,FALSE)</f>
      </c>
      <c r="AN30" s="31">
        <f>IF(AM30&lt;&gt;"",IF(AM30&gt;AO30,"○",IF(AM30&lt;AO30,"●","△")),"")</f>
      </c>
      <c r="AO30" s="31">
        <f>VLOOKUP("前"&amp;$B29&amp;AN$39,'１部対戦表'!$R$1:$U$141,3,FALSE)</f>
      </c>
      <c r="AP30" s="32" t="s">
        <v>79</v>
      </c>
      <c r="AQ30" s="153"/>
      <c r="AR30" s="169"/>
      <c r="AS30" s="169"/>
      <c r="AT30" s="172"/>
      <c r="AU30" s="165"/>
      <c r="AV30" s="165"/>
      <c r="AW30" s="174"/>
      <c r="AX30" s="151"/>
      <c r="AZ30" s="158"/>
      <c r="BB30" s="124"/>
      <c r="BD30" s="22">
        <f>COUNTIF($C29:$AP32,"○")</f>
        <v>0</v>
      </c>
      <c r="BE30" s="22">
        <f>COUNTIF($C29:$AP32,"△")</f>
        <v>0</v>
      </c>
      <c r="BF30" s="22">
        <f>COUNTIF($C29:$AP32,"●")</f>
        <v>0</v>
      </c>
      <c r="BG30" s="57">
        <f>BD30*3+BE30</f>
        <v>0</v>
      </c>
      <c r="BH30" s="20"/>
      <c r="BI30" s="20"/>
      <c r="BJ30" s="20"/>
      <c r="BK30" s="53">
        <f>IF(F30&lt;&gt;"",F30,0)</f>
        <v>0</v>
      </c>
      <c r="BL30" s="53">
        <f>IF(K30&lt;&gt;"",K30,0)</f>
        <v>0</v>
      </c>
      <c r="BM30" s="53">
        <f>IF(P30&lt;&gt;"",P30,0)</f>
        <v>0</v>
      </c>
      <c r="BN30" s="53">
        <f>IF(U30&lt;&gt;"",U30,0)</f>
        <v>0</v>
      </c>
      <c r="BO30" s="53">
        <f>IF(Z30&lt;&gt;"",Z30,0)</f>
        <v>0</v>
      </c>
      <c r="BP30" s="53">
        <f>IF(AE30&lt;&gt;"",AE30,0)</f>
        <v>0</v>
      </c>
      <c r="BQ30" s="53">
        <f>IF(AJ30&lt;&gt;"",AJ30,0)</f>
        <v>0</v>
      </c>
      <c r="BR30" s="53">
        <f>IF(AO30&lt;&gt;"",AO30,0)</f>
        <v>0</v>
      </c>
    </row>
    <row r="31" spans="2:70" ht="24" customHeight="1" thickBot="1">
      <c r="B31" s="155"/>
      <c r="C31" s="135" t="e">
        <f>VLOOKUP("後"&amp;$B29&amp;E$39,'１部対戦表'!$R$1:$U$141,4,FALSE)</f>
        <v>#N/A</v>
      </c>
      <c r="D31" s="136"/>
      <c r="E31" s="136"/>
      <c r="F31" s="136"/>
      <c r="G31" s="137"/>
      <c r="H31" s="135" t="e">
        <f>VLOOKUP("後"&amp;$B29&amp;J$39,'１部対戦表'!$R$1:$U$141,4,FALSE)</f>
        <v>#N/A</v>
      </c>
      <c r="I31" s="136"/>
      <c r="J31" s="136"/>
      <c r="K31" s="136"/>
      <c r="L31" s="137"/>
      <c r="M31" s="135" t="e">
        <f>VLOOKUP("後"&amp;$B29&amp;O$39,'１部対戦表'!$R$1:$U$141,4,FALSE)</f>
        <v>#N/A</v>
      </c>
      <c r="N31" s="136"/>
      <c r="O31" s="136"/>
      <c r="P31" s="136"/>
      <c r="Q31" s="137"/>
      <c r="R31" s="135" t="e">
        <f>VLOOKUP("後"&amp;$B29&amp;T$39,'１部対戦表'!$R$1:$U$141,4,FALSE)</f>
        <v>#N/A</v>
      </c>
      <c r="S31" s="136"/>
      <c r="T31" s="136"/>
      <c r="U31" s="136"/>
      <c r="V31" s="137"/>
      <c r="W31" s="135" t="e">
        <f>VLOOKUP("後"&amp;$B29&amp;Y$39,'１部対戦表'!$R$1:$U$141,4,FALSE)</f>
        <v>#N/A</v>
      </c>
      <c r="X31" s="136"/>
      <c r="Y31" s="136"/>
      <c r="Z31" s="136"/>
      <c r="AA31" s="137"/>
      <c r="AB31" s="135" t="e">
        <f>VLOOKUP("後"&amp;$B29&amp;AD$39,'１部対戦表'!$R$1:$U$141,4,FALSE)</f>
        <v>#N/A</v>
      </c>
      <c r="AC31" s="136"/>
      <c r="AD31" s="136"/>
      <c r="AE31" s="136"/>
      <c r="AF31" s="137"/>
      <c r="AG31" s="144"/>
      <c r="AH31" s="145"/>
      <c r="AI31" s="145"/>
      <c r="AJ31" s="145"/>
      <c r="AK31" s="146"/>
      <c r="AL31" s="135" t="e">
        <f>VLOOKUP("後"&amp;$B29&amp;AN$39,'１部対戦表'!$R$1:$U$141,4,FALSE)</f>
        <v>#N/A</v>
      </c>
      <c r="AM31" s="136"/>
      <c r="AN31" s="136"/>
      <c r="AO31" s="136"/>
      <c r="AP31" s="137"/>
      <c r="AQ31" s="153"/>
      <c r="AR31" s="169"/>
      <c r="AS31" s="169"/>
      <c r="AT31" s="172"/>
      <c r="AU31" s="165"/>
      <c r="AV31" s="165"/>
      <c r="AW31" s="174"/>
      <c r="AX31" s="151"/>
      <c r="AZ31" s="159"/>
      <c r="BB31" s="125"/>
      <c r="BD31" s="65" t="s">
        <v>90</v>
      </c>
      <c r="BE31" s="65" t="s">
        <v>91</v>
      </c>
      <c r="BF31" s="65" t="s">
        <v>92</v>
      </c>
      <c r="BG31" s="21"/>
      <c r="BH31" s="21" t="s">
        <v>98</v>
      </c>
      <c r="BI31" s="55">
        <f>IF(AND(BD30=0,BE30=0,BF30=0),0,+AT29*1000+AW29)</f>
        <v>0</v>
      </c>
      <c r="BJ31" s="56"/>
      <c r="BK31" s="53" t="e">
        <f>IF(D32&lt;&gt;"",D32,0)</f>
        <v>#N/A</v>
      </c>
      <c r="BL31" s="53" t="e">
        <f>IF(I32&lt;&gt;"",I32,0)</f>
        <v>#N/A</v>
      </c>
      <c r="BM31" s="53" t="e">
        <f>IF(N32&lt;&gt;"",N32,0)</f>
        <v>#N/A</v>
      </c>
      <c r="BN31" s="53" t="e">
        <f>IF(S32&lt;&gt;"",S32,0)</f>
        <v>#N/A</v>
      </c>
      <c r="BO31" s="53" t="e">
        <f>IF(X32&lt;&gt;"",X32,0)</f>
        <v>#N/A</v>
      </c>
      <c r="BP31" s="53" t="e">
        <f>IF(AC32&lt;&gt;"",AC32,0)</f>
        <v>#N/A</v>
      </c>
      <c r="BQ31" s="53">
        <f>IF(AH32&lt;&gt;"",AH32,0)</f>
        <v>0</v>
      </c>
      <c r="BR31" s="53" t="e">
        <f>IF(AM32&lt;&gt;"",AM32,0)</f>
        <v>#N/A</v>
      </c>
    </row>
    <row r="32" spans="2:70" ht="24" customHeight="1">
      <c r="B32" s="190"/>
      <c r="C32" s="27" t="s">
        <v>78</v>
      </c>
      <c r="D32" s="28" t="e">
        <f>VLOOKUP("後"&amp;$B29&amp;E$39,'１部対戦表'!$R$1:$U$141,2,FALSE)</f>
        <v>#N/A</v>
      </c>
      <c r="E32" s="28" t="e">
        <f>IF(D32&lt;&gt;"",IF(D32&gt;F32,"○",IF(D32&lt;F32,"●","△")),"")</f>
        <v>#N/A</v>
      </c>
      <c r="F32" s="28" t="e">
        <f>VLOOKUP("後"&amp;$B29&amp;E$39,'１部対戦表'!$R$1:$U$141,3,FALSE)</f>
        <v>#N/A</v>
      </c>
      <c r="G32" s="29" t="s">
        <v>79</v>
      </c>
      <c r="H32" s="27" t="s">
        <v>78</v>
      </c>
      <c r="I32" s="28" t="e">
        <f>VLOOKUP("後"&amp;$B29&amp;J$39,'１部対戦表'!$R$1:$U$141,2,FALSE)</f>
        <v>#N/A</v>
      </c>
      <c r="J32" s="28" t="e">
        <f>IF(I32&lt;&gt;"",IF(I32&gt;K32,"○",IF(I32&lt;K32,"●","△")),"")</f>
        <v>#N/A</v>
      </c>
      <c r="K32" s="28" t="e">
        <f>VLOOKUP("後"&amp;$B29&amp;J$39,'１部対戦表'!$R$1:$U$141,3,FALSE)</f>
        <v>#N/A</v>
      </c>
      <c r="L32" s="29" t="s">
        <v>79</v>
      </c>
      <c r="M32" s="27" t="s">
        <v>78</v>
      </c>
      <c r="N32" s="28" t="e">
        <f>VLOOKUP("後"&amp;$B29&amp;O$39,'１部対戦表'!$R$1:$U$141,2,FALSE)</f>
        <v>#N/A</v>
      </c>
      <c r="O32" s="28" t="e">
        <f>IF(N32&lt;&gt;"",IF(N32&gt;P32,"○",IF(N32&lt;P32,"●","△")),"")</f>
        <v>#N/A</v>
      </c>
      <c r="P32" s="28" t="e">
        <f>VLOOKUP("後"&amp;$B29&amp;O$39,'１部対戦表'!$R$1:$U$141,3,FALSE)</f>
        <v>#N/A</v>
      </c>
      <c r="Q32" s="29" t="s">
        <v>79</v>
      </c>
      <c r="R32" s="27" t="s">
        <v>78</v>
      </c>
      <c r="S32" s="28" t="e">
        <f>VLOOKUP("後"&amp;$B29&amp;T$39,'１部対戦表'!$R$1:$U$141,2,FALSE)</f>
        <v>#N/A</v>
      </c>
      <c r="T32" s="28" t="e">
        <f>IF(S32&lt;&gt;"",IF(S32&gt;U32,"○",IF(S32&lt;U32,"●","△")),"")</f>
        <v>#N/A</v>
      </c>
      <c r="U32" s="28" t="e">
        <f>VLOOKUP("後"&amp;$B29&amp;T$39,'１部対戦表'!$R$1:$U$141,3,FALSE)</f>
        <v>#N/A</v>
      </c>
      <c r="V32" s="29" t="s">
        <v>79</v>
      </c>
      <c r="W32" s="27" t="s">
        <v>78</v>
      </c>
      <c r="X32" s="28" t="e">
        <f>VLOOKUP("後"&amp;$B29&amp;Y$39,'１部対戦表'!$R$1:$U$141,2,FALSE)</f>
        <v>#N/A</v>
      </c>
      <c r="Y32" s="28" t="e">
        <f>IF(X32&lt;&gt;"",IF(X32&gt;Z32,"○",IF(X32&lt;Z32,"●","△")),"")</f>
        <v>#N/A</v>
      </c>
      <c r="Z32" s="28" t="e">
        <f>VLOOKUP("後"&amp;$B29&amp;Y$39,'１部対戦表'!$R$1:$U$141,3,FALSE)</f>
        <v>#N/A</v>
      </c>
      <c r="AA32" s="29" t="s">
        <v>79</v>
      </c>
      <c r="AB32" s="27" t="s">
        <v>78</v>
      </c>
      <c r="AC32" s="28" t="e">
        <f>VLOOKUP("後"&amp;$B29&amp;AD$39,'１部対戦表'!$R$1:$U$141,2,FALSE)</f>
        <v>#N/A</v>
      </c>
      <c r="AD32" s="28" t="e">
        <f>IF(AC32&lt;&gt;"",IF(AC32&gt;AE32,"○",IF(AC32&lt;AE32,"●","△")),"")</f>
        <v>#N/A</v>
      </c>
      <c r="AE32" s="28" t="e">
        <f>VLOOKUP("後"&amp;$B29&amp;AD$39,'１部対戦表'!$R$1:$U$141,3,FALSE)</f>
        <v>#N/A</v>
      </c>
      <c r="AF32" s="29" t="s">
        <v>79</v>
      </c>
      <c r="AG32" s="147"/>
      <c r="AH32" s="148"/>
      <c r="AI32" s="148"/>
      <c r="AJ32" s="148"/>
      <c r="AK32" s="149"/>
      <c r="AL32" s="27" t="s">
        <v>78</v>
      </c>
      <c r="AM32" s="28" t="e">
        <f>VLOOKUP("後"&amp;$B29&amp;AN$39,'１部対戦表'!$R$1:$U$141,2,FALSE)</f>
        <v>#N/A</v>
      </c>
      <c r="AN32" s="28" t="e">
        <f>IF(AM32&lt;&gt;"",IF(AM32&gt;AO32,"○",IF(AM32&lt;AO32,"●","△")),"")</f>
        <v>#N/A</v>
      </c>
      <c r="AO32" s="28" t="e">
        <f>VLOOKUP("後"&amp;$B29&amp;AN$39,'１部対戦表'!$R$1:$U$141,3,FALSE)</f>
        <v>#N/A</v>
      </c>
      <c r="AP32" s="29" t="s">
        <v>79</v>
      </c>
      <c r="AQ32" s="154"/>
      <c r="AR32" s="183"/>
      <c r="AS32" s="183"/>
      <c r="AT32" s="173"/>
      <c r="AU32" s="165"/>
      <c r="AV32" s="165"/>
      <c r="AW32" s="174"/>
      <c r="AX32" s="152"/>
      <c r="BD32" s="65" t="e">
        <f>SUM(BK29:BR29)+SUM(BK31:BR31)</f>
        <v>#N/A</v>
      </c>
      <c r="BE32" s="65" t="e">
        <f>SUM(BK30:BR30)+SUM(BK32:BR32)</f>
        <v>#N/A</v>
      </c>
      <c r="BF32" s="47" t="e">
        <f>+BD32-BE32</f>
        <v>#N/A</v>
      </c>
      <c r="BG32" s="21"/>
      <c r="BH32" s="21"/>
      <c r="BI32" s="21"/>
      <c r="BJ32" s="21"/>
      <c r="BK32" s="54" t="e">
        <f>IF(F32&lt;&gt;"",F32,0)</f>
        <v>#N/A</v>
      </c>
      <c r="BL32" s="54" t="e">
        <f>IF(K32&lt;&gt;"",K32,0)</f>
        <v>#N/A</v>
      </c>
      <c r="BM32" s="54" t="e">
        <f>IF(P32&lt;&gt;"",P32,0)</f>
        <v>#N/A</v>
      </c>
      <c r="BN32" s="54" t="e">
        <f>IF(U32&lt;&gt;"",U32,0)</f>
        <v>#N/A</v>
      </c>
      <c r="BO32" s="54" t="e">
        <f>IF(Z32&lt;&gt;"",Z32,0)</f>
        <v>#N/A</v>
      </c>
      <c r="BP32" s="54" t="e">
        <f>IF(AE32&lt;&gt;"",AE32,0)</f>
        <v>#N/A</v>
      </c>
      <c r="BQ32" s="54">
        <f>IF(AJ32&lt;&gt;"",AJ32,0)</f>
        <v>0</v>
      </c>
      <c r="BR32" s="54" t="e">
        <f>IF(AO32&lt;&gt;"",AO32,0)</f>
        <v>#N/A</v>
      </c>
    </row>
    <row r="33" spans="2:70" ht="24" customHeight="1" thickBot="1">
      <c r="B33" s="59" t="str">
        <f>+AX65</f>
        <v>H</v>
      </c>
      <c r="C33" s="138">
        <f>VLOOKUP("前"&amp;$B33&amp;E$39,'１部対戦表'!$R$1:$U$141,4,FALSE)</f>
        <v>40315</v>
      </c>
      <c r="D33" s="139"/>
      <c r="E33" s="139"/>
      <c r="F33" s="139"/>
      <c r="G33" s="140"/>
      <c r="H33" s="138">
        <f>VLOOKUP("前"&amp;$B33&amp;J$39,'１部対戦表'!$R$1:$U$141,4,FALSE)</f>
        <v>40343</v>
      </c>
      <c r="I33" s="139"/>
      <c r="J33" s="139"/>
      <c r="K33" s="139"/>
      <c r="L33" s="140"/>
      <c r="M33" s="138">
        <f>VLOOKUP("前"&amp;$B33&amp;O$39,'１部対戦表'!$R$1:$U$141,4,FALSE)</f>
        <v>40350</v>
      </c>
      <c r="N33" s="139"/>
      <c r="O33" s="139"/>
      <c r="P33" s="139"/>
      <c r="Q33" s="140"/>
      <c r="R33" s="138">
        <f>VLOOKUP("前"&amp;$B33&amp;T$39,'１部対戦表'!$R$1:$U$141,4,FALSE)</f>
        <v>40399</v>
      </c>
      <c r="S33" s="139"/>
      <c r="T33" s="139"/>
      <c r="U33" s="139"/>
      <c r="V33" s="140"/>
      <c r="W33" s="138">
        <f>VLOOKUP("前"&amp;$B33&amp;Y$39,'１部対戦表'!$R$1:$U$141,4,FALSE)</f>
        <v>40379</v>
      </c>
      <c r="X33" s="139"/>
      <c r="Y33" s="139"/>
      <c r="Z33" s="139"/>
      <c r="AA33" s="140"/>
      <c r="AB33" s="138">
        <f>VLOOKUP("前"&amp;$B33&amp;AD$39,'１部対戦表'!$R$1:$U$141,4,FALSE)</f>
        <v>40392</v>
      </c>
      <c r="AC33" s="139"/>
      <c r="AD33" s="139"/>
      <c r="AE33" s="139"/>
      <c r="AF33" s="140"/>
      <c r="AG33" s="138">
        <f>VLOOKUP("前"&amp;$B33&amp;AI$39,'１部対戦表'!$R$1:$U$141,4,FALSE)</f>
        <v>40364</v>
      </c>
      <c r="AH33" s="139"/>
      <c r="AI33" s="139"/>
      <c r="AJ33" s="139"/>
      <c r="AK33" s="140"/>
      <c r="AL33" s="141"/>
      <c r="AM33" s="142"/>
      <c r="AN33" s="142"/>
      <c r="AO33" s="142"/>
      <c r="AP33" s="160"/>
      <c r="AQ33" s="153">
        <f>IF(AND($BD34=0,$BE34=0,$BF34=0),"",BD34)</f>
      </c>
      <c r="AR33" s="169">
        <f>IF(AND($BD34=0,$BE34=0,$BF34=0),"",BE34)</f>
      </c>
      <c r="AS33" s="169">
        <f>IF(AND($BD34=0,$BE34=0,$BF34=0),"",BF34)</f>
      </c>
      <c r="AT33" s="171">
        <f>IF(AND($BD34=0,$BE34=0,$BF34=0),"",BG34+AZ34)</f>
      </c>
      <c r="AU33" s="165">
        <f>IF(AND($BD34=0,$BE34=0,$BF34=0),"",BD36)</f>
      </c>
      <c r="AV33" s="165">
        <f>IF(AND($BD34=0,$BE34=0,$BF34=0),"",BE36)</f>
      </c>
      <c r="AW33" s="174">
        <f>IF(AND($BD34=0,$BE34=0,$BF34=0),"",BF36)</f>
      </c>
      <c r="AX33" s="150">
        <f>IF(AND($BD34=0,$BE34=0,$BF34=0),"",RANK(BI35,BI$7:BI$35))</f>
      </c>
      <c r="BD33" s="57" t="s">
        <v>86</v>
      </c>
      <c r="BE33" s="57" t="s">
        <v>87</v>
      </c>
      <c r="BF33" s="57" t="s">
        <v>88</v>
      </c>
      <c r="BG33" s="57" t="s">
        <v>89</v>
      </c>
      <c r="BH33" s="20"/>
      <c r="BI33" s="20"/>
      <c r="BJ33" s="20"/>
      <c r="BK33" s="52">
        <f>IF(D34&lt;&gt;"",D34,0)</f>
        <v>0</v>
      </c>
      <c r="BL33" s="52">
        <f>IF(I34&lt;&gt;"",I34,0)</f>
        <v>0</v>
      </c>
      <c r="BM33" s="52">
        <f>IF(N34&lt;&gt;"",N34,0)</f>
        <v>0</v>
      </c>
      <c r="BN33" s="52">
        <f>IF(S34&lt;&gt;"",S34,0)</f>
        <v>0</v>
      </c>
      <c r="BO33" s="52">
        <f>IF(X34&lt;&gt;"",X34,0)</f>
        <v>0</v>
      </c>
      <c r="BP33" s="52">
        <f>IF(AC34&lt;&gt;"",AC34,0)</f>
        <v>0</v>
      </c>
      <c r="BQ33" s="52">
        <f>IF(AH34&lt;&gt;"",AH34,0)</f>
        <v>0</v>
      </c>
      <c r="BR33" s="52">
        <f>IF(AM34&lt;&gt;"",AM34,0)</f>
        <v>0</v>
      </c>
    </row>
    <row r="34" spans="2:70" ht="24" customHeight="1">
      <c r="B34" s="155" t="str">
        <f>VLOOKUP(B33,'参加チーム'!$B$5:$F$73,IF($AQ$3=1,3,4),FALSE)</f>
        <v>CROSS</v>
      </c>
      <c r="C34" s="30" t="s">
        <v>78</v>
      </c>
      <c r="D34" s="31">
        <f>VLOOKUP("前"&amp;$B33&amp;E$39,'１部対戦表'!$R$1:$U$141,2,FALSE)</f>
      </c>
      <c r="E34" s="31">
        <f>IF(D34&lt;&gt;"",IF(D34&gt;F34,"○",IF(D34&lt;F34,"●","△")),"")</f>
      </c>
      <c r="F34" s="31">
        <f>VLOOKUP("前"&amp;$B33&amp;E$39,'１部対戦表'!$R$1:$U$141,3,FALSE)</f>
      </c>
      <c r="G34" s="32" t="s">
        <v>79</v>
      </c>
      <c r="H34" s="30" t="s">
        <v>78</v>
      </c>
      <c r="I34" s="31">
        <f>VLOOKUP("前"&amp;$B33&amp;J$39,'１部対戦表'!$R$1:$U$141,2,FALSE)</f>
      </c>
      <c r="J34" s="31">
        <f>IF(I34&lt;&gt;"",IF(I34&gt;K34,"○",IF(I34&lt;K34,"●","△")),"")</f>
      </c>
      <c r="K34" s="31">
        <f>VLOOKUP("前"&amp;$B33&amp;J$39,'１部対戦表'!$R$1:$U$141,3,FALSE)</f>
      </c>
      <c r="L34" s="32" t="s">
        <v>79</v>
      </c>
      <c r="M34" s="30" t="s">
        <v>78</v>
      </c>
      <c r="N34" s="31">
        <f>VLOOKUP("前"&amp;$B33&amp;O$39,'１部対戦表'!$R$1:$U$141,2,FALSE)</f>
      </c>
      <c r="O34" s="31">
        <f>IF(N34&lt;&gt;"",IF(N34&gt;P34,"○",IF(N34&lt;P34,"●","△")),"")</f>
      </c>
      <c r="P34" s="31">
        <f>VLOOKUP("前"&amp;$B33&amp;O$39,'１部対戦表'!$R$1:$U$141,3,FALSE)</f>
      </c>
      <c r="Q34" s="32" t="s">
        <v>79</v>
      </c>
      <c r="R34" s="30" t="s">
        <v>78</v>
      </c>
      <c r="S34" s="31">
        <f>VLOOKUP("前"&amp;$B33&amp;T$39,'１部対戦表'!$R$1:$U$141,2,FALSE)</f>
      </c>
      <c r="T34" s="31">
        <f>IF(S34&lt;&gt;"",IF(S34&gt;U34,"○",IF(S34&lt;U34,"●","△")),"")</f>
      </c>
      <c r="U34" s="31">
        <f>VLOOKUP("前"&amp;$B33&amp;T$39,'１部対戦表'!$R$1:$U$141,3,FALSE)</f>
      </c>
      <c r="V34" s="32" t="s">
        <v>79</v>
      </c>
      <c r="W34" s="30" t="s">
        <v>78</v>
      </c>
      <c r="X34" s="31">
        <f>VLOOKUP("前"&amp;$B33&amp;Y$39,'１部対戦表'!$R$1:$U$141,2,FALSE)</f>
      </c>
      <c r="Y34" s="31">
        <f>IF(X34&lt;&gt;"",IF(X34&gt;Z34,"○",IF(X34&lt;Z34,"●","△")),"")</f>
      </c>
      <c r="Z34" s="31">
        <f>VLOOKUP("前"&amp;$B33&amp;Y$39,'１部対戦表'!$R$1:$U$141,3,FALSE)</f>
      </c>
      <c r="AA34" s="32" t="s">
        <v>79</v>
      </c>
      <c r="AB34" s="30" t="s">
        <v>78</v>
      </c>
      <c r="AC34" s="31">
        <f>VLOOKUP("前"&amp;$B33&amp;AD$39,'１部対戦表'!$R$1:$U$141,2,FALSE)</f>
      </c>
      <c r="AD34" s="31">
        <f>IF(AC34&lt;&gt;"",IF(AC34&gt;AE34,"○",IF(AC34&lt;AE34,"●","△")),"")</f>
      </c>
      <c r="AE34" s="31">
        <f>VLOOKUP("前"&amp;$B33&amp;AD$39,'１部対戦表'!$R$1:$U$141,3,FALSE)</f>
      </c>
      <c r="AF34" s="32" t="s">
        <v>79</v>
      </c>
      <c r="AG34" s="30" t="s">
        <v>78</v>
      </c>
      <c r="AH34" s="31">
        <f>VLOOKUP("前"&amp;$B33&amp;AI$39,'１部対戦表'!$R$1:$U$141,2,FALSE)</f>
      </c>
      <c r="AI34" s="31">
        <f>IF(AH34&lt;&gt;"",IF(AH34&gt;AJ34,"○",IF(AH34&lt;AJ34,"●","△")),"")</f>
      </c>
      <c r="AJ34" s="31">
        <f>VLOOKUP("前"&amp;$B33&amp;AI$39,'１部対戦表'!$R$1:$U$141,3,FALSE)</f>
      </c>
      <c r="AK34" s="32" t="s">
        <v>79</v>
      </c>
      <c r="AL34" s="144"/>
      <c r="AM34" s="145"/>
      <c r="AN34" s="145"/>
      <c r="AO34" s="145"/>
      <c r="AP34" s="161"/>
      <c r="AQ34" s="153"/>
      <c r="AR34" s="169"/>
      <c r="AS34" s="169"/>
      <c r="AT34" s="172"/>
      <c r="AU34" s="165"/>
      <c r="AV34" s="165"/>
      <c r="AW34" s="174"/>
      <c r="AX34" s="151"/>
      <c r="AZ34" s="158"/>
      <c r="BA34" s="51"/>
      <c r="BB34" s="124"/>
      <c r="BC34" s="51"/>
      <c r="BD34" s="22">
        <f>COUNTIF($C33:$AP36,"○")</f>
        <v>0</v>
      </c>
      <c r="BE34" s="22">
        <f>COUNTIF($C33:$AP36,"△")</f>
        <v>0</v>
      </c>
      <c r="BF34" s="22">
        <f>COUNTIF($C33:$AP36,"●")</f>
        <v>0</v>
      </c>
      <c r="BG34" s="57">
        <f>BD34*3+BE34</f>
        <v>0</v>
      </c>
      <c r="BH34" s="20"/>
      <c r="BI34" s="20"/>
      <c r="BJ34" s="20"/>
      <c r="BK34" s="53">
        <f>IF(F34&lt;&gt;"",F34,0)</f>
        <v>0</v>
      </c>
      <c r="BL34" s="53">
        <f>IF(K34&lt;&gt;"",K34,0)</f>
        <v>0</v>
      </c>
      <c r="BM34" s="53">
        <f>IF(P34&lt;&gt;"",P34,0)</f>
        <v>0</v>
      </c>
      <c r="BN34" s="53">
        <f>IF(U34&lt;&gt;"",U34,0)</f>
        <v>0</v>
      </c>
      <c r="BO34" s="53">
        <f>IF(Z34&lt;&gt;"",Z34,0)</f>
        <v>0</v>
      </c>
      <c r="BP34" s="53">
        <f>IF(AE34&lt;&gt;"",AE34,0)</f>
        <v>0</v>
      </c>
      <c r="BQ34" s="53">
        <f>IF(AJ34&lt;&gt;"",AJ34,0)</f>
        <v>0</v>
      </c>
      <c r="BR34" s="53">
        <f>IF(AO34&lt;&gt;"",AO34,0)</f>
        <v>0</v>
      </c>
    </row>
    <row r="35" spans="2:70" ht="24" customHeight="1" thickBot="1">
      <c r="B35" s="155"/>
      <c r="C35" s="157" t="e">
        <f>VLOOKUP("後"&amp;$B33&amp;E$39,'１部対戦表'!$R$1:$U$141,4,FALSE)</f>
        <v>#N/A</v>
      </c>
      <c r="D35" s="136"/>
      <c r="E35" s="136"/>
      <c r="F35" s="136"/>
      <c r="G35" s="137"/>
      <c r="H35" s="135" t="e">
        <f>VLOOKUP("後"&amp;$B33&amp;J$39,'１部対戦表'!$R$1:$U$141,4,FALSE)</f>
        <v>#N/A</v>
      </c>
      <c r="I35" s="136"/>
      <c r="J35" s="136"/>
      <c r="K35" s="136"/>
      <c r="L35" s="137"/>
      <c r="M35" s="135" t="e">
        <f>VLOOKUP("後"&amp;$B33&amp;O$39,'１部対戦表'!$R$1:$U$141,4,FALSE)</f>
        <v>#N/A</v>
      </c>
      <c r="N35" s="136"/>
      <c r="O35" s="136"/>
      <c r="P35" s="136"/>
      <c r="Q35" s="137"/>
      <c r="R35" s="135" t="e">
        <f>VLOOKUP("後"&amp;$B33&amp;T$39,'１部対戦表'!$R$1:$U$141,4,FALSE)</f>
        <v>#N/A</v>
      </c>
      <c r="S35" s="136"/>
      <c r="T35" s="136"/>
      <c r="U35" s="136"/>
      <c r="V35" s="137"/>
      <c r="W35" s="135" t="e">
        <f>VLOOKUP("後"&amp;$B33&amp;Y$39,'１部対戦表'!$R$1:$U$141,4,FALSE)</f>
        <v>#N/A</v>
      </c>
      <c r="X35" s="136"/>
      <c r="Y35" s="136"/>
      <c r="Z35" s="136"/>
      <c r="AA35" s="137"/>
      <c r="AB35" s="135" t="e">
        <f>VLOOKUP("後"&amp;$B33&amp;AD$39,'１部対戦表'!$R$1:$U$141,4,FALSE)</f>
        <v>#N/A</v>
      </c>
      <c r="AC35" s="136"/>
      <c r="AD35" s="136"/>
      <c r="AE35" s="136"/>
      <c r="AF35" s="137"/>
      <c r="AG35" s="135" t="e">
        <f>VLOOKUP("後"&amp;$B33&amp;AI$39,'１部対戦表'!$R$1:$U$141,4,FALSE)</f>
        <v>#N/A</v>
      </c>
      <c r="AH35" s="136"/>
      <c r="AI35" s="136"/>
      <c r="AJ35" s="136"/>
      <c r="AK35" s="137"/>
      <c r="AL35" s="144"/>
      <c r="AM35" s="145"/>
      <c r="AN35" s="145"/>
      <c r="AO35" s="145"/>
      <c r="AP35" s="161"/>
      <c r="AQ35" s="153"/>
      <c r="AR35" s="169"/>
      <c r="AS35" s="169"/>
      <c r="AT35" s="172"/>
      <c r="AU35" s="165"/>
      <c r="AV35" s="165"/>
      <c r="AW35" s="174"/>
      <c r="AX35" s="151"/>
      <c r="AZ35" s="159"/>
      <c r="BA35" s="51"/>
      <c r="BB35" s="125"/>
      <c r="BC35" s="51"/>
      <c r="BD35" s="65" t="s">
        <v>90</v>
      </c>
      <c r="BE35" s="65" t="s">
        <v>91</v>
      </c>
      <c r="BF35" s="65" t="s">
        <v>92</v>
      </c>
      <c r="BG35" s="21"/>
      <c r="BH35" s="21" t="s">
        <v>98</v>
      </c>
      <c r="BI35" s="55">
        <f>IF(AND(BD34=0,BE34=0,BF34=0),0,AT33*1000+AW33+IF(BB34=$BD$4,100,0)+IF(BB34=$BF$4,-100,0))</f>
        <v>0</v>
      </c>
      <c r="BJ35" s="56"/>
      <c r="BK35" s="53" t="e">
        <f>IF(D36&lt;&gt;"",D36,0)</f>
        <v>#N/A</v>
      </c>
      <c r="BL35" s="53" t="e">
        <f>IF(I36&lt;&gt;"",I36,0)</f>
        <v>#N/A</v>
      </c>
      <c r="BM35" s="53" t="e">
        <f>IF(N36&lt;&gt;"",N36,0)</f>
        <v>#N/A</v>
      </c>
      <c r="BN35" s="53" t="e">
        <f>IF(S36&lt;&gt;"",S36,0)</f>
        <v>#N/A</v>
      </c>
      <c r="BO35" s="53" t="e">
        <f>IF(X36&lt;&gt;"",X36,0)</f>
        <v>#N/A</v>
      </c>
      <c r="BP35" s="53" t="e">
        <f>IF(AC36&lt;&gt;"",AC36,0)</f>
        <v>#N/A</v>
      </c>
      <c r="BQ35" s="53" t="e">
        <f>IF(AH36&lt;&gt;"",AH36,0)</f>
        <v>#N/A</v>
      </c>
      <c r="BR35" s="53">
        <f>IF(AM36&lt;&gt;"",AM36,0)</f>
        <v>0</v>
      </c>
    </row>
    <row r="36" spans="2:70" ht="24" customHeight="1" thickBot="1">
      <c r="B36" s="156"/>
      <c r="C36" s="34" t="s">
        <v>78</v>
      </c>
      <c r="D36" s="35" t="e">
        <f>VLOOKUP("後"&amp;$B33&amp;E$39,'１部対戦表'!$R$1:$U$141,2,FALSE)</f>
        <v>#N/A</v>
      </c>
      <c r="E36" s="35" t="e">
        <f>IF(D36&lt;&gt;"",IF(D36&gt;F36,"○",IF(D36&lt;F36,"●","△")),"")</f>
        <v>#N/A</v>
      </c>
      <c r="F36" s="35" t="e">
        <f>VLOOKUP("後"&amp;$B33&amp;E$39,'１部対戦表'!$R$1:$U$141,3,FALSE)</f>
        <v>#N/A</v>
      </c>
      <c r="G36" s="36" t="s">
        <v>79</v>
      </c>
      <c r="H36" s="34" t="s">
        <v>78</v>
      </c>
      <c r="I36" s="35" t="e">
        <f>VLOOKUP("後"&amp;$B33&amp;J$39,'１部対戦表'!$R$1:$U$141,2,FALSE)</f>
        <v>#N/A</v>
      </c>
      <c r="J36" s="35" t="e">
        <f>IF(I36&lt;&gt;"",IF(I36&gt;K36,"○",IF(I36&lt;K36,"●","△")),"")</f>
        <v>#N/A</v>
      </c>
      <c r="K36" s="35" t="e">
        <f>VLOOKUP("後"&amp;$B33&amp;J$39,'１部対戦表'!$R$1:$U$141,3,FALSE)</f>
        <v>#N/A</v>
      </c>
      <c r="L36" s="36" t="s">
        <v>79</v>
      </c>
      <c r="M36" s="34" t="s">
        <v>78</v>
      </c>
      <c r="N36" s="35" t="e">
        <f>VLOOKUP("後"&amp;$B33&amp;O$39,'１部対戦表'!$R$1:$U$141,2,FALSE)</f>
        <v>#N/A</v>
      </c>
      <c r="O36" s="35" t="e">
        <f>IF(N36&lt;&gt;"",IF(N36&gt;P36,"○",IF(N36&lt;P36,"●","△")),"")</f>
        <v>#N/A</v>
      </c>
      <c r="P36" s="35" t="e">
        <f>VLOOKUP("後"&amp;$B33&amp;O$39,'１部対戦表'!$R$1:$U$141,3,FALSE)</f>
        <v>#N/A</v>
      </c>
      <c r="Q36" s="36" t="s">
        <v>79</v>
      </c>
      <c r="R36" s="34" t="s">
        <v>78</v>
      </c>
      <c r="S36" s="35" t="e">
        <f>VLOOKUP("後"&amp;$B33&amp;T$39,'１部対戦表'!$R$1:$U$141,2,FALSE)</f>
        <v>#N/A</v>
      </c>
      <c r="T36" s="35" t="e">
        <f>IF(S36&lt;&gt;"",IF(S36&gt;U36,"○",IF(S36&lt;U36,"●","△")),"")</f>
        <v>#N/A</v>
      </c>
      <c r="U36" s="35" t="e">
        <f>VLOOKUP("後"&amp;$B33&amp;T$39,'１部対戦表'!$R$1:$U$141,3,FALSE)</f>
        <v>#N/A</v>
      </c>
      <c r="V36" s="36" t="s">
        <v>79</v>
      </c>
      <c r="W36" s="34" t="s">
        <v>78</v>
      </c>
      <c r="X36" s="35" t="e">
        <f>VLOOKUP("後"&amp;$B33&amp;Y$39,'１部対戦表'!$R$1:$U$141,2,FALSE)</f>
        <v>#N/A</v>
      </c>
      <c r="Y36" s="35" t="e">
        <f>IF(X36&lt;&gt;"",IF(X36&gt;Z36,"○",IF(X36&lt;Z36,"●","△")),"")</f>
        <v>#N/A</v>
      </c>
      <c r="Z36" s="35" t="e">
        <f>VLOOKUP("後"&amp;$B33&amp;Y$39,'１部対戦表'!$R$1:$U$141,3,FALSE)</f>
        <v>#N/A</v>
      </c>
      <c r="AA36" s="36" t="s">
        <v>79</v>
      </c>
      <c r="AB36" s="34" t="s">
        <v>78</v>
      </c>
      <c r="AC36" s="35" t="e">
        <f>VLOOKUP("後"&amp;$B33&amp;AD$39,'１部対戦表'!$R$1:$U$141,2,FALSE)</f>
        <v>#N/A</v>
      </c>
      <c r="AD36" s="35" t="e">
        <f>IF(AC36&lt;&gt;"",IF(AC36&gt;AE36,"○",IF(AC36&lt;AE36,"●","△")),"")</f>
        <v>#N/A</v>
      </c>
      <c r="AE36" s="35" t="e">
        <f>VLOOKUP("後"&amp;$B33&amp;AD$39,'１部対戦表'!$R$1:$U$141,3,FALSE)</f>
        <v>#N/A</v>
      </c>
      <c r="AF36" s="36" t="s">
        <v>79</v>
      </c>
      <c r="AG36" s="34" t="s">
        <v>78</v>
      </c>
      <c r="AH36" s="35" t="e">
        <f>VLOOKUP("後"&amp;$B33&amp;AI$39,'１部対戦表'!$R$1:$U$141,2,FALSE)</f>
        <v>#N/A</v>
      </c>
      <c r="AI36" s="35" t="e">
        <f>IF(AH36&lt;&gt;"",IF(AH36&gt;AJ36,"○",IF(AH36&lt;AJ36,"●","△")),"")</f>
        <v>#N/A</v>
      </c>
      <c r="AJ36" s="35" t="e">
        <f>VLOOKUP("後"&amp;$B33&amp;AI$39,'１部対戦表'!$R$1:$U$141,3,FALSE)</f>
        <v>#N/A</v>
      </c>
      <c r="AK36" s="36" t="s">
        <v>79</v>
      </c>
      <c r="AL36" s="162"/>
      <c r="AM36" s="163"/>
      <c r="AN36" s="163"/>
      <c r="AO36" s="163"/>
      <c r="AP36" s="164"/>
      <c r="AQ36" s="168"/>
      <c r="AR36" s="170"/>
      <c r="AS36" s="170"/>
      <c r="AT36" s="175"/>
      <c r="AU36" s="166"/>
      <c r="AV36" s="166"/>
      <c r="AW36" s="176"/>
      <c r="AX36" s="167"/>
      <c r="BD36" s="65" t="e">
        <f>SUM(BK33:BR33)+SUM(BK35:BR35)</f>
        <v>#N/A</v>
      </c>
      <c r="BE36" s="65" t="e">
        <f>SUM(BK34:BR34)+SUM(BK36:BR36)</f>
        <v>#N/A</v>
      </c>
      <c r="BF36" s="47" t="e">
        <f>+BD36-BE36</f>
        <v>#N/A</v>
      </c>
      <c r="BG36" s="21"/>
      <c r="BH36" s="21"/>
      <c r="BI36" s="21"/>
      <c r="BJ36" s="21"/>
      <c r="BK36" s="54" t="e">
        <f>IF(F36&lt;&gt;"",F36,0)</f>
        <v>#N/A</v>
      </c>
      <c r="BL36" s="54" t="e">
        <f>IF(K36&lt;&gt;"",K36,0)</f>
        <v>#N/A</v>
      </c>
      <c r="BM36" s="54" t="e">
        <f>IF(P36&lt;&gt;"",P36,0)</f>
        <v>#N/A</v>
      </c>
      <c r="BN36" s="54" t="e">
        <f>IF(U36&lt;&gt;"",U36,0)</f>
        <v>#N/A</v>
      </c>
      <c r="BO36" s="54" t="e">
        <f>IF(Z36&lt;&gt;"",Z36,0)</f>
        <v>#N/A</v>
      </c>
      <c r="BP36" s="54" t="e">
        <f>IF(AE36&lt;&gt;"",AE36,0)</f>
        <v>#N/A</v>
      </c>
      <c r="BQ36" s="54" t="e">
        <f>IF(AJ36&lt;&gt;"",AJ36,0)</f>
        <v>#N/A</v>
      </c>
      <c r="BR36" s="54">
        <f>IF(AO36&lt;&gt;"",AO36,0)</f>
        <v>0</v>
      </c>
    </row>
    <row r="37" ht="30" customHeight="1"/>
    <row r="39" spans="2:50" ht="14.25" hidden="1">
      <c r="B39" s="11"/>
      <c r="C39" s="12"/>
      <c r="D39" s="12"/>
      <c r="E39" s="12" t="str">
        <f>+B5</f>
        <v>Ａ</v>
      </c>
      <c r="F39" s="12"/>
      <c r="G39" s="12"/>
      <c r="H39" s="12"/>
      <c r="I39" s="12"/>
      <c r="J39" s="12" t="str">
        <f>+B9</f>
        <v>Ｂ</v>
      </c>
      <c r="K39" s="12"/>
      <c r="L39" s="12"/>
      <c r="M39" s="12"/>
      <c r="N39" s="12"/>
      <c r="O39" s="12" t="str">
        <f>+B13</f>
        <v>Ｃ</v>
      </c>
      <c r="P39" s="12"/>
      <c r="Q39" s="12"/>
      <c r="R39" s="12"/>
      <c r="S39" s="12"/>
      <c r="T39" s="12" t="str">
        <f>+B17</f>
        <v>Ｄ</v>
      </c>
      <c r="U39" s="12"/>
      <c r="V39" s="12"/>
      <c r="W39" s="12"/>
      <c r="X39" s="12"/>
      <c r="Y39" s="12" t="str">
        <f>+B21</f>
        <v>Ｅ</v>
      </c>
      <c r="Z39" s="12"/>
      <c r="AA39" s="12"/>
      <c r="AB39" s="12"/>
      <c r="AC39" s="12"/>
      <c r="AD39" s="12" t="str">
        <f>+B25</f>
        <v>Ｆ</v>
      </c>
      <c r="AE39" s="12"/>
      <c r="AF39" s="12"/>
      <c r="AG39" s="12"/>
      <c r="AH39" s="12"/>
      <c r="AI39" s="12" t="str">
        <f>+B29</f>
        <v>G</v>
      </c>
      <c r="AJ39" s="12"/>
      <c r="AK39" s="12"/>
      <c r="AL39" s="12"/>
      <c r="AM39" s="12"/>
      <c r="AN39" s="12" t="str">
        <f>+B33</f>
        <v>H</v>
      </c>
      <c r="AO39" s="12"/>
      <c r="AP39" s="12"/>
      <c r="AQ39" s="11"/>
      <c r="AR39" s="12"/>
      <c r="AS39" s="12"/>
      <c r="AT39" s="12"/>
      <c r="AU39" s="12"/>
      <c r="AV39" s="12"/>
      <c r="AW39" s="12"/>
      <c r="AX39" s="13"/>
    </row>
    <row r="41" spans="2:50" ht="17.25">
      <c r="B41" s="3" t="s">
        <v>113</v>
      </c>
      <c r="C41" s="138">
        <f>VLOOKUP("前"&amp;$B41&amp;E$39,'１部対戦表'!$R$1:$U$141,4,FALSE)</f>
        <v>40315</v>
      </c>
      <c r="D41" s="139"/>
      <c r="E41" s="139"/>
      <c r="F41" s="139"/>
      <c r="G41" s="140"/>
      <c r="AQ41" s="197" t="s">
        <v>155</v>
      </c>
      <c r="AR41" s="127"/>
      <c r="AS41" s="127"/>
      <c r="AT41" s="127"/>
      <c r="AU41" s="127"/>
      <c r="AV41" s="127"/>
      <c r="AW41" s="127"/>
      <c r="AX41" s="128"/>
    </row>
    <row r="42" spans="2:50" ht="17.25">
      <c r="B42" s="155" t="str">
        <f>VLOOKUP(B41,'参加チーム'!$B$5:$F$73,IF(AQ39=1,3,4),FALSE)</f>
        <v>クロス</v>
      </c>
      <c r="C42" s="30" t="s">
        <v>78</v>
      </c>
      <c r="D42" s="31">
        <f>VLOOKUP("前"&amp;$B41&amp;E$39,'１部対戦表'!$R$1:$U$141,2,FALSE)</f>
      </c>
      <c r="E42" s="31">
        <f>IF(D42&lt;&gt;"",IF(D42&gt;F42,"○",IF(D42&lt;F42,"●","△")),"")</f>
      </c>
      <c r="F42" s="31">
        <f>VLOOKUP("前"&amp;$B41&amp;E$39,'１部対戦表'!$R$1:$U$141,3,FALSE)</f>
      </c>
      <c r="G42" s="32" t="s">
        <v>79</v>
      </c>
      <c r="AQ42" s="132"/>
      <c r="AR42" s="133"/>
      <c r="AS42" s="133"/>
      <c r="AT42" s="133"/>
      <c r="AU42" s="133"/>
      <c r="AV42" s="133"/>
      <c r="AW42" s="133"/>
      <c r="AX42" s="134"/>
    </row>
    <row r="43" spans="2:7" ht="17.25">
      <c r="B43" s="155"/>
      <c r="C43" s="135" t="e">
        <f>VLOOKUP("後"&amp;$B41&amp;E$39,'１部対戦表'!$R$1:$U$141,4,FALSE)</f>
        <v>#N/A</v>
      </c>
      <c r="D43" s="136"/>
      <c r="E43" s="136"/>
      <c r="F43" s="136"/>
      <c r="G43" s="137"/>
    </row>
    <row r="44" spans="2:50" ht="18" thickBot="1">
      <c r="B44" s="156"/>
      <c r="C44" s="34" t="s">
        <v>78</v>
      </c>
      <c r="D44" s="35" t="e">
        <f>VLOOKUP("後"&amp;$B41&amp;E$39,'１部対戦表'!$R$1:$U$141,2,FALSE)</f>
        <v>#N/A</v>
      </c>
      <c r="E44" s="35" t="e">
        <f>IF(D44&lt;&gt;"",IF(D44&gt;F44,"○",IF(D44&lt;F44,"●","△")),"")</f>
        <v>#N/A</v>
      </c>
      <c r="F44" s="35" t="e">
        <f>VLOOKUP("後"&amp;$B41&amp;E$39,'１部対戦表'!$R$1:$U$141,3,FALSE)</f>
        <v>#N/A</v>
      </c>
      <c r="G44" s="36" t="s">
        <v>79</v>
      </c>
      <c r="AQ44" s="47" t="s">
        <v>76</v>
      </c>
      <c r="AR44" s="26" t="s">
        <v>110</v>
      </c>
      <c r="AS44" s="26"/>
      <c r="AT44" s="26"/>
      <c r="AU44" s="26"/>
      <c r="AV44" s="26"/>
      <c r="AW44" s="26"/>
      <c r="AX44" s="47" t="s">
        <v>154</v>
      </c>
    </row>
    <row r="45" spans="43:50" ht="14.25">
      <c r="AQ45" s="61">
        <f>+AX5</f>
      </c>
      <c r="AR45" s="60" t="str">
        <f>+B6</f>
        <v>BANFF</v>
      </c>
      <c r="AS45" s="60"/>
      <c r="AT45" s="60"/>
      <c r="AU45" s="60"/>
      <c r="AV45" s="60"/>
      <c r="AW45" s="60"/>
      <c r="AX45" s="61" t="str">
        <f>+B5</f>
        <v>Ａ</v>
      </c>
    </row>
    <row r="46" spans="43:50" ht="14.25">
      <c r="AQ46" s="61">
        <f>+AX9</f>
      </c>
      <c r="AR46" s="60" t="str">
        <f>+B10</f>
        <v>ｳﾞｫｽｸｵｰﾚ</v>
      </c>
      <c r="AS46" s="60"/>
      <c r="AT46" s="60"/>
      <c r="AU46" s="60"/>
      <c r="AV46" s="60"/>
      <c r="AW46" s="60"/>
      <c r="AX46" s="61" t="str">
        <f>+B9</f>
        <v>Ｂ</v>
      </c>
    </row>
    <row r="47" spans="43:50" ht="14.25">
      <c r="AQ47" s="61">
        <f>+AX13</f>
      </c>
      <c r="AR47" s="60" t="str">
        <f>+B14</f>
        <v>かちかち山</v>
      </c>
      <c r="AS47" s="60"/>
      <c r="AT47" s="60"/>
      <c r="AU47" s="60"/>
      <c r="AV47" s="60"/>
      <c r="AW47" s="60"/>
      <c r="AX47" s="61" t="str">
        <f>+B13</f>
        <v>Ｃ</v>
      </c>
    </row>
    <row r="48" spans="43:50" ht="14.25">
      <c r="AQ48" s="61">
        <f>+AX17</f>
      </c>
      <c r="AR48" s="60" t="str">
        <f>+B18</f>
        <v>malva</v>
      </c>
      <c r="AS48" s="60"/>
      <c r="AT48" s="60"/>
      <c r="AU48" s="60"/>
      <c r="AV48" s="60"/>
      <c r="AW48" s="60"/>
      <c r="AX48" s="61" t="str">
        <f>+B17</f>
        <v>Ｄ</v>
      </c>
    </row>
    <row r="49" spans="43:50" ht="14.25">
      <c r="AQ49" s="61">
        <f>+AX21</f>
      </c>
      <c r="AR49" s="60" t="str">
        <f>+B22</f>
        <v>Sabedoria</v>
      </c>
      <c r="AS49" s="60"/>
      <c r="AT49" s="60"/>
      <c r="AU49" s="60"/>
      <c r="AV49" s="60"/>
      <c r="AW49" s="60"/>
      <c r="AX49" s="61" t="str">
        <f>+B21</f>
        <v>Ｅ</v>
      </c>
    </row>
    <row r="50" spans="43:50" ht="14.25">
      <c r="AQ50" s="61">
        <f>+AX25</f>
      </c>
      <c r="AR50" s="60" t="str">
        <f>+B26</f>
        <v>volviendo</v>
      </c>
      <c r="AS50" s="60"/>
      <c r="AT50" s="60"/>
      <c r="AU50" s="60"/>
      <c r="AV50" s="60"/>
      <c r="AW50" s="60"/>
      <c r="AX50" s="61" t="str">
        <f>+B25</f>
        <v>Ｆ</v>
      </c>
    </row>
    <row r="51" spans="43:50" ht="14.25">
      <c r="AQ51" s="61">
        <f>+AX29</f>
      </c>
      <c r="AR51" s="60" t="str">
        <f>+B30</f>
        <v>東北大学</v>
      </c>
      <c r="AS51" s="60"/>
      <c r="AT51" s="60"/>
      <c r="AU51" s="60"/>
      <c r="AV51" s="60"/>
      <c r="AW51" s="60"/>
      <c r="AX51" s="61" t="str">
        <f>+B29</f>
        <v>G</v>
      </c>
    </row>
    <row r="52" spans="43:50" ht="14.25">
      <c r="AQ52" s="61">
        <f>+AX33</f>
      </c>
      <c r="AR52" s="60" t="str">
        <f>+B34</f>
        <v>CROSS</v>
      </c>
      <c r="AS52" s="60"/>
      <c r="AT52" s="60"/>
      <c r="AU52" s="60"/>
      <c r="AV52" s="60"/>
      <c r="AW52" s="60"/>
      <c r="AX52" s="61" t="str">
        <f>+B33</f>
        <v>H</v>
      </c>
    </row>
    <row r="54" spans="43:50" ht="21" customHeight="1">
      <c r="AQ54" s="126" t="s">
        <v>156</v>
      </c>
      <c r="AR54" s="127"/>
      <c r="AS54" s="127"/>
      <c r="AT54" s="127"/>
      <c r="AU54" s="127"/>
      <c r="AV54" s="127"/>
      <c r="AW54" s="127"/>
      <c r="AX54" s="128"/>
    </row>
    <row r="55" spans="43:50" ht="21" customHeight="1">
      <c r="AQ55" s="129"/>
      <c r="AR55" s="130"/>
      <c r="AS55" s="130"/>
      <c r="AT55" s="130"/>
      <c r="AU55" s="130"/>
      <c r="AV55" s="130"/>
      <c r="AW55" s="130"/>
      <c r="AX55" s="131"/>
    </row>
    <row r="56" spans="43:50" ht="21" customHeight="1">
      <c r="AQ56" s="132"/>
      <c r="AR56" s="133"/>
      <c r="AS56" s="133"/>
      <c r="AT56" s="133"/>
      <c r="AU56" s="133"/>
      <c r="AV56" s="133"/>
      <c r="AW56" s="133"/>
      <c r="AX56" s="134"/>
    </row>
    <row r="58" spans="43:50" ht="14.25">
      <c r="AQ58" s="63"/>
      <c r="AR58" s="62" t="s">
        <v>142</v>
      </c>
      <c r="AS58" s="62"/>
      <c r="AT58" s="62"/>
      <c r="AU58" s="62"/>
      <c r="AV58" s="62"/>
      <c r="AW58" s="62"/>
      <c r="AX58" s="63" t="s">
        <v>40</v>
      </c>
    </row>
    <row r="59" spans="43:50" ht="14.25">
      <c r="AQ59" s="63"/>
      <c r="AR59" s="62" t="s">
        <v>215</v>
      </c>
      <c r="AS59" s="62"/>
      <c r="AT59" s="62"/>
      <c r="AU59" s="62"/>
      <c r="AV59" s="62"/>
      <c r="AW59" s="62"/>
      <c r="AX59" s="63" t="s">
        <v>38</v>
      </c>
    </row>
    <row r="60" spans="43:50" ht="14.25">
      <c r="AQ60" s="63"/>
      <c r="AR60" s="62" t="s">
        <v>208</v>
      </c>
      <c r="AS60" s="62"/>
      <c r="AT60" s="62"/>
      <c r="AU60" s="62"/>
      <c r="AV60" s="62"/>
      <c r="AW60" s="62"/>
      <c r="AX60" s="63" t="s">
        <v>36</v>
      </c>
    </row>
    <row r="61" spans="43:50" ht="14.25">
      <c r="AQ61" s="63"/>
      <c r="AR61" s="62" t="s">
        <v>209</v>
      </c>
      <c r="AS61" s="62"/>
      <c r="AT61" s="62"/>
      <c r="AU61" s="62"/>
      <c r="AV61" s="62"/>
      <c r="AW61" s="62"/>
      <c r="AX61" s="63" t="s">
        <v>41</v>
      </c>
    </row>
    <row r="62" spans="43:50" ht="14.25">
      <c r="AQ62" s="63"/>
      <c r="AR62" s="62" t="s">
        <v>210</v>
      </c>
      <c r="AS62" s="62"/>
      <c r="AT62" s="62"/>
      <c r="AU62" s="62"/>
      <c r="AV62" s="62"/>
      <c r="AW62" s="62"/>
      <c r="AX62" s="63" t="s">
        <v>37</v>
      </c>
    </row>
    <row r="63" spans="43:50" ht="14.25">
      <c r="AQ63" s="63"/>
      <c r="AR63" s="62" t="s">
        <v>211</v>
      </c>
      <c r="AS63" s="62"/>
      <c r="AT63" s="62"/>
      <c r="AU63" s="62"/>
      <c r="AV63" s="62"/>
      <c r="AW63" s="62"/>
      <c r="AX63" s="63" t="s">
        <v>39</v>
      </c>
    </row>
    <row r="64" spans="43:50" ht="14.25">
      <c r="AQ64" s="63"/>
      <c r="AR64" s="62" t="s">
        <v>212</v>
      </c>
      <c r="AS64" s="62"/>
      <c r="AT64" s="62"/>
      <c r="AU64" s="62"/>
      <c r="AV64" s="62"/>
      <c r="AW64" s="62"/>
      <c r="AX64" s="63" t="s">
        <v>148</v>
      </c>
    </row>
    <row r="65" spans="43:50" ht="14.25">
      <c r="AQ65" s="63"/>
      <c r="AR65" s="62" t="s">
        <v>214</v>
      </c>
      <c r="AS65" s="62"/>
      <c r="AT65" s="62"/>
      <c r="AU65" s="62"/>
      <c r="AV65" s="62"/>
      <c r="AW65" s="62"/>
      <c r="AX65" s="63" t="s">
        <v>149</v>
      </c>
    </row>
  </sheetData>
  <sheetProtection sheet="1" sort="0"/>
  <mergeCells count="221">
    <mergeCell ref="AQ41:AX42"/>
    <mergeCell ref="AG4:AK4"/>
    <mergeCell ref="AG5:AK5"/>
    <mergeCell ref="AG7:AK7"/>
    <mergeCell ref="AU29:AU32"/>
    <mergeCell ref="AV29:AV32"/>
    <mergeCell ref="AW29:AW32"/>
    <mergeCell ref="AR25:AR28"/>
    <mergeCell ref="AL29:AP29"/>
    <mergeCell ref="AL31:AP31"/>
    <mergeCell ref="AL25:AP25"/>
    <mergeCell ref="AX29:AX32"/>
    <mergeCell ref="AQ29:AQ32"/>
    <mergeCell ref="AR29:AR32"/>
    <mergeCell ref="AS29:AS32"/>
    <mergeCell ref="AT29:AT32"/>
    <mergeCell ref="AU25:AU28"/>
    <mergeCell ref="AV25:AV28"/>
    <mergeCell ref="AX25:AX28"/>
    <mergeCell ref="AS25:AS28"/>
    <mergeCell ref="M29:Q29"/>
    <mergeCell ref="R29:V29"/>
    <mergeCell ref="C25:G25"/>
    <mergeCell ref="H25:L25"/>
    <mergeCell ref="M25:Q25"/>
    <mergeCell ref="R25:V25"/>
    <mergeCell ref="B26:B28"/>
    <mergeCell ref="C27:G27"/>
    <mergeCell ref="H27:L27"/>
    <mergeCell ref="M27:Q27"/>
    <mergeCell ref="B30:B32"/>
    <mergeCell ref="C31:G31"/>
    <mergeCell ref="H31:L31"/>
    <mergeCell ref="M31:Q31"/>
    <mergeCell ref="C29:G29"/>
    <mergeCell ref="H29:L29"/>
    <mergeCell ref="M9:Q9"/>
    <mergeCell ref="AL5:AP5"/>
    <mergeCell ref="AL7:AP7"/>
    <mergeCell ref="M7:Q7"/>
    <mergeCell ref="AL9:AP9"/>
    <mergeCell ref="R7:V7"/>
    <mergeCell ref="W5:AA5"/>
    <mergeCell ref="W9:AA9"/>
    <mergeCell ref="R5:V5"/>
    <mergeCell ref="B6:B8"/>
    <mergeCell ref="AL4:AP4"/>
    <mergeCell ref="C5:G8"/>
    <mergeCell ref="H5:L5"/>
    <mergeCell ref="H7:L7"/>
    <mergeCell ref="M5:Q5"/>
    <mergeCell ref="C4:G4"/>
    <mergeCell ref="H4:L4"/>
    <mergeCell ref="M4:Q4"/>
    <mergeCell ref="R4:V4"/>
    <mergeCell ref="B18:B20"/>
    <mergeCell ref="W21:AA24"/>
    <mergeCell ref="B22:B24"/>
    <mergeCell ref="H9:L12"/>
    <mergeCell ref="B10:B12"/>
    <mergeCell ref="B14:B16"/>
    <mergeCell ref="R17:V20"/>
    <mergeCell ref="C21:G21"/>
    <mergeCell ref="M13:Q16"/>
    <mergeCell ref="W11:AA11"/>
    <mergeCell ref="AB4:AF4"/>
    <mergeCell ref="W4:AA4"/>
    <mergeCell ref="AX5:AX8"/>
    <mergeCell ref="AV5:AV8"/>
    <mergeCell ref="AU5:AU8"/>
    <mergeCell ref="AW5:AW8"/>
    <mergeCell ref="AB7:AF7"/>
    <mergeCell ref="AB5:AF5"/>
    <mergeCell ref="AT5:AT8"/>
    <mergeCell ref="R9:V9"/>
    <mergeCell ref="AQ13:AQ16"/>
    <mergeCell ref="AL13:AP13"/>
    <mergeCell ref="AB11:AF11"/>
    <mergeCell ref="R11:V11"/>
    <mergeCell ref="W13:AA13"/>
    <mergeCell ref="W15:AA15"/>
    <mergeCell ref="AS17:AS20"/>
    <mergeCell ref="AL19:AP19"/>
    <mergeCell ref="AL17:AP17"/>
    <mergeCell ref="AL15:AP15"/>
    <mergeCell ref="AQ5:AQ8"/>
    <mergeCell ref="AS5:AS8"/>
    <mergeCell ref="AW17:AW20"/>
    <mergeCell ref="AU13:AU16"/>
    <mergeCell ref="AV17:AV20"/>
    <mergeCell ref="C23:G23"/>
    <mergeCell ref="M11:Q11"/>
    <mergeCell ref="AR13:AR16"/>
    <mergeCell ref="AS13:AS16"/>
    <mergeCell ref="AG19:AK19"/>
    <mergeCell ref="AQ17:AQ20"/>
    <mergeCell ref="AR17:AR20"/>
    <mergeCell ref="AX17:AX20"/>
    <mergeCell ref="AU17:AU20"/>
    <mergeCell ref="AW13:AW16"/>
    <mergeCell ref="AR5:AR8"/>
    <mergeCell ref="AQ9:AQ12"/>
    <mergeCell ref="AR9:AR12"/>
    <mergeCell ref="AS9:AS12"/>
    <mergeCell ref="AV9:AV12"/>
    <mergeCell ref="AU9:AU12"/>
    <mergeCell ref="AX9:AX12"/>
    <mergeCell ref="R13:V13"/>
    <mergeCell ref="AB13:AF13"/>
    <mergeCell ref="C17:G17"/>
    <mergeCell ref="H13:L13"/>
    <mergeCell ref="H15:L15"/>
    <mergeCell ref="H17:L17"/>
    <mergeCell ref="AL11:AP11"/>
    <mergeCell ref="W7:AA7"/>
    <mergeCell ref="AG13:AK13"/>
    <mergeCell ref="AB9:AF9"/>
    <mergeCell ref="AG9:AK9"/>
    <mergeCell ref="AG11:AK11"/>
    <mergeCell ref="AG17:AK17"/>
    <mergeCell ref="AB15:AF15"/>
    <mergeCell ref="AG15:AK15"/>
    <mergeCell ref="M17:Q17"/>
    <mergeCell ref="AB17:AF17"/>
    <mergeCell ref="R15:V15"/>
    <mergeCell ref="W17:AA17"/>
    <mergeCell ref="C9:G9"/>
    <mergeCell ref="C11:G11"/>
    <mergeCell ref="C13:G13"/>
    <mergeCell ref="C15:G15"/>
    <mergeCell ref="C19:G19"/>
    <mergeCell ref="H19:L19"/>
    <mergeCell ref="H21:L21"/>
    <mergeCell ref="W27:AA27"/>
    <mergeCell ref="H23:L23"/>
    <mergeCell ref="M19:Q19"/>
    <mergeCell ref="M21:Q21"/>
    <mergeCell ref="M23:Q23"/>
    <mergeCell ref="W19:AA19"/>
    <mergeCell ref="R27:V27"/>
    <mergeCell ref="W25:AA25"/>
    <mergeCell ref="AB19:AF19"/>
    <mergeCell ref="AZ22:AZ23"/>
    <mergeCell ref="AV21:AV24"/>
    <mergeCell ref="AL23:AP23"/>
    <mergeCell ref="AQ21:AQ24"/>
    <mergeCell ref="AW21:AW24"/>
    <mergeCell ref="AR21:AR24"/>
    <mergeCell ref="AS21:AS24"/>
    <mergeCell ref="AT21:AT24"/>
    <mergeCell ref="AL21:AP21"/>
    <mergeCell ref="AZ6:AZ7"/>
    <mergeCell ref="AZ10:AZ11"/>
    <mergeCell ref="AZ14:AZ15"/>
    <mergeCell ref="AZ18:AZ19"/>
    <mergeCell ref="AT17:AT20"/>
    <mergeCell ref="AX13:AX16"/>
    <mergeCell ref="AW9:AW12"/>
    <mergeCell ref="AV13:AV16"/>
    <mergeCell ref="AT9:AT12"/>
    <mergeCell ref="AT13:AT16"/>
    <mergeCell ref="AG33:AK33"/>
    <mergeCell ref="R31:V31"/>
    <mergeCell ref="AG21:AK21"/>
    <mergeCell ref="AG23:AK23"/>
    <mergeCell ref="AB21:AF21"/>
    <mergeCell ref="AB31:AF31"/>
    <mergeCell ref="W29:AA29"/>
    <mergeCell ref="W31:AA31"/>
    <mergeCell ref="R21:V21"/>
    <mergeCell ref="R23:V23"/>
    <mergeCell ref="AU21:AU24"/>
    <mergeCell ref="AT25:AT28"/>
    <mergeCell ref="AW25:AW28"/>
    <mergeCell ref="AS33:AS36"/>
    <mergeCell ref="AT33:AT36"/>
    <mergeCell ref="AW33:AW36"/>
    <mergeCell ref="AZ34:AZ35"/>
    <mergeCell ref="AZ26:AZ27"/>
    <mergeCell ref="AZ30:AZ31"/>
    <mergeCell ref="AL33:AP36"/>
    <mergeCell ref="AL27:AP27"/>
    <mergeCell ref="AV33:AV36"/>
    <mergeCell ref="AU33:AU36"/>
    <mergeCell ref="AX33:AX36"/>
    <mergeCell ref="AQ33:AQ36"/>
    <mergeCell ref="AR33:AR36"/>
    <mergeCell ref="B42:B44"/>
    <mergeCell ref="C43:G43"/>
    <mergeCell ref="C41:G41"/>
    <mergeCell ref="R35:V35"/>
    <mergeCell ref="M35:Q35"/>
    <mergeCell ref="C35:G35"/>
    <mergeCell ref="B34:B36"/>
    <mergeCell ref="H33:L33"/>
    <mergeCell ref="H35:L35"/>
    <mergeCell ref="AB33:AF33"/>
    <mergeCell ref="C33:G33"/>
    <mergeCell ref="M33:Q33"/>
    <mergeCell ref="W35:AA35"/>
    <mergeCell ref="R33:V33"/>
    <mergeCell ref="AB35:AF35"/>
    <mergeCell ref="W33:AA33"/>
    <mergeCell ref="AQ54:AX56"/>
    <mergeCell ref="AB23:AF23"/>
    <mergeCell ref="AG25:AK25"/>
    <mergeCell ref="AG27:AK27"/>
    <mergeCell ref="AB25:AF28"/>
    <mergeCell ref="AG29:AK32"/>
    <mergeCell ref="AB29:AF29"/>
    <mergeCell ref="AG35:AK35"/>
    <mergeCell ref="AX21:AX24"/>
    <mergeCell ref="AQ25:AQ28"/>
    <mergeCell ref="BB30:BB31"/>
    <mergeCell ref="BB34:BB35"/>
    <mergeCell ref="BB6:BB7"/>
    <mergeCell ref="BB10:BB11"/>
    <mergeCell ref="BB14:BB15"/>
    <mergeCell ref="BB18:BB19"/>
    <mergeCell ref="BB22:BB23"/>
    <mergeCell ref="BB26:BB27"/>
  </mergeCells>
  <conditionalFormatting sqref="BB6:BB7">
    <cfRule type="expression" priority="27" dxfId="0" stopIfTrue="1">
      <formula>$BB6=$BF$4</formula>
    </cfRule>
    <cfRule type="expression" priority="28" dxfId="0" stopIfTrue="1">
      <formula>$BB6=$BD$4</formula>
    </cfRule>
  </conditionalFormatting>
  <conditionalFormatting sqref="AZ26:AZ27">
    <cfRule type="expression" priority="26" dxfId="14" stopIfTrue="1">
      <formula>$AZ26&lt;&gt;0</formula>
    </cfRule>
  </conditionalFormatting>
  <conditionalFormatting sqref="AZ22:AZ23">
    <cfRule type="expression" priority="23" dxfId="14" stopIfTrue="1">
      <formula>$AZ22&lt;&gt;0</formula>
    </cfRule>
  </conditionalFormatting>
  <conditionalFormatting sqref="AZ30:AZ31">
    <cfRule type="expression" priority="20" dxfId="14" stopIfTrue="1">
      <formula>$AZ30&lt;&gt;0</formula>
    </cfRule>
  </conditionalFormatting>
  <conditionalFormatting sqref="AZ34:AZ35">
    <cfRule type="expression" priority="19" dxfId="14" stopIfTrue="1">
      <formula>$AZ34&lt;&gt;0</formula>
    </cfRule>
  </conditionalFormatting>
  <conditionalFormatting sqref="AZ14:AZ15">
    <cfRule type="expression" priority="18" dxfId="14" stopIfTrue="1">
      <formula>$AZ14&lt;&gt;0</formula>
    </cfRule>
  </conditionalFormatting>
  <conditionalFormatting sqref="AZ10:AZ11">
    <cfRule type="expression" priority="17" dxfId="14" stopIfTrue="1">
      <formula>$AZ10&lt;&gt;0</formula>
    </cfRule>
  </conditionalFormatting>
  <conditionalFormatting sqref="AZ6:AZ7">
    <cfRule type="expression" priority="16" dxfId="14" stopIfTrue="1">
      <formula>$AZ6&lt;&gt;0</formula>
    </cfRule>
  </conditionalFormatting>
  <conditionalFormatting sqref="AZ18:AZ19">
    <cfRule type="expression" priority="15" dxfId="14" stopIfTrue="1">
      <formula>$AZ18&lt;&gt;0</formula>
    </cfRule>
  </conditionalFormatting>
  <conditionalFormatting sqref="BB10:BB11">
    <cfRule type="expression" priority="13" dxfId="0" stopIfTrue="1">
      <formula>$BB10=$BF$4</formula>
    </cfRule>
    <cfRule type="expression" priority="14" dxfId="0" stopIfTrue="1">
      <formula>$BB10=$BD$4</formula>
    </cfRule>
  </conditionalFormatting>
  <conditionalFormatting sqref="BB14:BB15">
    <cfRule type="expression" priority="11" dxfId="0" stopIfTrue="1">
      <formula>$BB14=$BF$4</formula>
    </cfRule>
    <cfRule type="expression" priority="12" dxfId="0" stopIfTrue="1">
      <formula>$BB14=$BD$4</formula>
    </cfRule>
  </conditionalFormatting>
  <conditionalFormatting sqref="BB22:BB23">
    <cfRule type="expression" priority="9" dxfId="0" stopIfTrue="1">
      <formula>$BB22=$BF$4</formula>
    </cfRule>
    <cfRule type="expression" priority="10" dxfId="0" stopIfTrue="1">
      <formula>$BB22=$BD$4</formula>
    </cfRule>
  </conditionalFormatting>
  <conditionalFormatting sqref="BB26:BB27">
    <cfRule type="expression" priority="7" dxfId="0" stopIfTrue="1">
      <formula>$BB26=$BF$4</formula>
    </cfRule>
    <cfRule type="expression" priority="8" dxfId="0" stopIfTrue="1">
      <formula>$BB26=$BD$4</formula>
    </cfRule>
  </conditionalFormatting>
  <conditionalFormatting sqref="BB30:BB31">
    <cfRule type="expression" priority="5" dxfId="0" stopIfTrue="1">
      <formula>$BB30=$BF$4</formula>
    </cfRule>
    <cfRule type="expression" priority="6" dxfId="0" stopIfTrue="1">
      <formula>$BB30=$BD$4</formula>
    </cfRule>
  </conditionalFormatting>
  <conditionalFormatting sqref="BB34:BB35">
    <cfRule type="expression" priority="3" dxfId="0" stopIfTrue="1">
      <formula>$BB34=$BF$4</formula>
    </cfRule>
    <cfRule type="expression" priority="4" dxfId="0" stopIfTrue="1">
      <formula>$BB34=$BD$4</formula>
    </cfRule>
  </conditionalFormatting>
  <conditionalFormatting sqref="BB18:BB19">
    <cfRule type="expression" priority="1" dxfId="0" stopIfTrue="1">
      <formula>$BB18=$BF$4</formula>
    </cfRule>
    <cfRule type="expression" priority="2" dxfId="0" stopIfTrue="1">
      <formula>$BB18=$BD$4</formula>
    </cfRule>
  </conditionalFormatting>
  <dataValidations count="1">
    <dataValidation type="list" allowBlank="1" showInputMessage="1" showErrorMessage="1" sqref="BB6:BB7 BB10:BB11 BB14:BB15 BB22:BB23 BB26:BB27 BB30:BB31 BB34:BB35 BB18:BB19">
      <formula1>"　,○,●"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119"/>
  <sheetViews>
    <sheetView tabSelected="1" view="pageBreakPreview" zoomScale="70" zoomScaleNormal="75" zoomScaleSheetLayoutView="70" zoomScalePageLayoutView="0" workbookViewId="0" topLeftCell="A1">
      <pane ySplit="1" topLeftCell="A2" activePane="bottomLeft" state="frozen"/>
      <selection pane="topLeft" activeCell="AC19" sqref="AC19"/>
      <selection pane="bottomLeft" activeCell="O3" sqref="O3"/>
    </sheetView>
  </sheetViews>
  <sheetFormatPr defaultColWidth="8.796875" defaultRowHeight="15"/>
  <cols>
    <col min="1" max="1" width="9" style="88" customWidth="1"/>
    <col min="2" max="2" width="9.5" style="88" bestFit="1" customWidth="1"/>
    <col min="3" max="3" width="10.59765625" style="88" customWidth="1"/>
    <col min="4" max="4" width="4.59765625" style="88" customWidth="1"/>
    <col min="5" max="5" width="5.59765625" style="88" customWidth="1"/>
    <col min="6" max="6" width="4.59765625" style="88" customWidth="1"/>
    <col min="7" max="7" width="14.59765625" style="88" customWidth="1"/>
    <col min="8" max="12" width="3.59765625" style="88" customWidth="1"/>
    <col min="13" max="13" width="4.59765625" style="88" customWidth="1"/>
    <col min="14" max="14" width="14.59765625" style="88" customWidth="1"/>
    <col min="15" max="15" width="12.59765625" style="88" customWidth="1"/>
    <col min="16" max="16" width="10.59765625" style="88" customWidth="1"/>
    <col min="17" max="17" width="3.8984375" style="88" customWidth="1"/>
    <col min="18" max="18" width="11.19921875" style="88" hidden="1" customWidth="1"/>
    <col min="19" max="20" width="5.19921875" style="88" hidden="1" customWidth="1"/>
    <col min="21" max="21" width="9.5" style="88" hidden="1" customWidth="1"/>
    <col min="22" max="16384" width="9" style="88" customWidth="1"/>
  </cols>
  <sheetData>
    <row r="1" spans="1:19" ht="28.5" customHeight="1">
      <c r="A1" s="86" t="s">
        <v>217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R1" s="89" t="s">
        <v>82</v>
      </c>
      <c r="S1" s="90"/>
    </row>
    <row r="2" spans="1:19" ht="28.5" customHeight="1" thickBot="1">
      <c r="A2" s="91" t="s">
        <v>93</v>
      </c>
      <c r="M2" s="92">
        <f>+'１部'!AQ3</f>
        <v>1</v>
      </c>
      <c r="N2" s="69" t="str">
        <f>IF(M2=1,"略称表示","日本語略称表示")&amp;"（成績表からリンク）"</f>
        <v>略称表示（成績表からリンク）</v>
      </c>
      <c r="O2" s="93"/>
      <c r="P2" s="93"/>
      <c r="R2" s="89"/>
      <c r="S2" s="90"/>
    </row>
    <row r="3" spans="1:19" ht="25.5" customHeight="1" thickBot="1">
      <c r="A3" s="94"/>
      <c r="B3" s="16" t="s">
        <v>45</v>
      </c>
      <c r="C3" s="70" t="s">
        <v>46</v>
      </c>
      <c r="D3" s="16" t="s">
        <v>83</v>
      </c>
      <c r="E3" s="16" t="s">
        <v>47</v>
      </c>
      <c r="F3" s="17"/>
      <c r="G3" s="18" t="s">
        <v>84</v>
      </c>
      <c r="H3" s="216" t="s">
        <v>48</v>
      </c>
      <c r="I3" s="216"/>
      <c r="J3" s="216"/>
      <c r="K3" s="216"/>
      <c r="L3" s="216"/>
      <c r="M3" s="17"/>
      <c r="N3" s="18" t="s">
        <v>85</v>
      </c>
      <c r="O3" s="16" t="s">
        <v>241</v>
      </c>
      <c r="P3" s="19" t="s">
        <v>44</v>
      </c>
      <c r="R3" s="90"/>
      <c r="S3" s="90"/>
    </row>
    <row r="4" spans="1:21" ht="15.75" customHeight="1">
      <c r="A4" s="225">
        <v>1</v>
      </c>
      <c r="B4" s="241">
        <v>40315</v>
      </c>
      <c r="C4" s="243" t="s">
        <v>50</v>
      </c>
      <c r="D4" s="233">
        <v>1</v>
      </c>
      <c r="E4" s="237">
        <v>0.4375</v>
      </c>
      <c r="F4" s="76" t="s">
        <v>226</v>
      </c>
      <c r="G4" s="210" t="str">
        <f>VLOOKUP(F4,'参加チーム'!$B$5:$F$73,IF($M$2=1,3,4),FALSE)</f>
        <v>malva</v>
      </c>
      <c r="H4" s="201">
        <f>IF(I4&lt;&gt;"",I4+I5,"")</f>
      </c>
      <c r="I4" s="77"/>
      <c r="J4" s="215" t="s">
        <v>80</v>
      </c>
      <c r="K4" s="77"/>
      <c r="L4" s="201">
        <f>IF(K4&lt;&gt;"",K4+K5,"")</f>
      </c>
      <c r="M4" s="95" t="s">
        <v>227</v>
      </c>
      <c r="N4" s="210" t="str">
        <f>VLOOKUP(M4,'参加チーム'!$B$5:$F$73,IF($M$2=1,3,4),FALSE)</f>
        <v>Sabedoria</v>
      </c>
      <c r="O4" s="211" t="str">
        <f>+N4</f>
        <v>Sabedoria</v>
      </c>
      <c r="P4" s="242" t="s">
        <v>231</v>
      </c>
      <c r="R4" s="96" t="str">
        <f>+"前"&amp;F4&amp;M4</f>
        <v>前ＤＥ</v>
      </c>
      <c r="S4" s="97">
        <f>IF(H4&lt;&gt;"",H4,"")</f>
      </c>
      <c r="T4" s="97">
        <f>IF(L4&lt;&gt;"",L4,"")</f>
      </c>
      <c r="U4" s="98">
        <f>+B4</f>
        <v>40315</v>
      </c>
    </row>
    <row r="5" spans="1:21" ht="15.75" customHeight="1">
      <c r="A5" s="226"/>
      <c r="B5" s="229"/>
      <c r="C5" s="232"/>
      <c r="D5" s="220"/>
      <c r="E5" s="199"/>
      <c r="F5" s="78" t="str">
        <f>LEFT(VLOOKUP(F4,'参加チーム'!$B$5:$F$73,5,FALSE),2)</f>
        <v>山形</v>
      </c>
      <c r="G5" s="209"/>
      <c r="H5" s="202"/>
      <c r="I5" s="79"/>
      <c r="J5" s="205"/>
      <c r="K5" s="79"/>
      <c r="L5" s="202"/>
      <c r="M5" s="78" t="str">
        <f>LEFT(VLOOKUP(M4,'参加チーム'!$B$5:$F$73,5,FALSE),2)</f>
        <v>岩手</v>
      </c>
      <c r="N5" s="209"/>
      <c r="O5" s="199"/>
      <c r="P5" s="223"/>
      <c r="R5" s="99" t="str">
        <f>+"前"&amp;M4&amp;F4</f>
        <v>前ＥＤ</v>
      </c>
      <c r="S5" s="90">
        <f>IF(L4&lt;&gt;"",L4,"")</f>
      </c>
      <c r="T5" s="90">
        <f>IF(H4&lt;&gt;"",H4,"")</f>
      </c>
      <c r="U5" s="100">
        <f>+B4</f>
        <v>40315</v>
      </c>
    </row>
    <row r="6" spans="1:21" ht="15.75" customHeight="1">
      <c r="A6" s="226"/>
      <c r="B6" s="229"/>
      <c r="C6" s="232"/>
      <c r="D6" s="219">
        <v>2</v>
      </c>
      <c r="E6" s="218">
        <v>0.513888888888889</v>
      </c>
      <c r="F6" s="80" t="s">
        <v>225</v>
      </c>
      <c r="G6" s="208" t="str">
        <f>VLOOKUP(F6,'参加チーム'!$B$5:$F$73,IF($M$2=1,3,4),FALSE)</f>
        <v>かちかち山</v>
      </c>
      <c r="H6" s="203">
        <f>IF(I6&lt;&gt;"",I6+I7,"")</f>
      </c>
      <c r="I6" s="79"/>
      <c r="J6" s="204" t="s">
        <v>80</v>
      </c>
      <c r="K6" s="79"/>
      <c r="L6" s="203">
        <f>IF(K6&lt;&gt;"",K6+K7,"")</f>
      </c>
      <c r="M6" s="101" t="s">
        <v>228</v>
      </c>
      <c r="N6" s="208" t="str">
        <f>VLOOKUP(M6,'参加チーム'!$B$5:$F$73,IF($M$2=1,3,4),FALSE)</f>
        <v>volviendo</v>
      </c>
      <c r="O6" s="198" t="str">
        <f>+N6</f>
        <v>volviendo</v>
      </c>
      <c r="P6" s="223"/>
      <c r="R6" s="99" t="str">
        <f>+"前"&amp;F6&amp;M6</f>
        <v>前ＣＦ</v>
      </c>
      <c r="S6" s="90">
        <f>+H6</f>
      </c>
      <c r="T6" s="90">
        <f>+L6</f>
      </c>
      <c r="U6" s="100">
        <f>+B4</f>
        <v>40315</v>
      </c>
    </row>
    <row r="7" spans="1:21" ht="15.75" customHeight="1">
      <c r="A7" s="226"/>
      <c r="B7" s="229"/>
      <c r="C7" s="234" t="s">
        <v>218</v>
      </c>
      <c r="D7" s="220"/>
      <c r="E7" s="199"/>
      <c r="F7" s="78" t="str">
        <f>LEFT(VLOOKUP(F6,'参加チーム'!$B$5:$F$73,5,FALSE),2)</f>
        <v>福島</v>
      </c>
      <c r="G7" s="209"/>
      <c r="H7" s="202"/>
      <c r="I7" s="79"/>
      <c r="J7" s="205"/>
      <c r="K7" s="79"/>
      <c r="L7" s="202"/>
      <c r="M7" s="78" t="str">
        <f>LEFT(VLOOKUP(M6,'参加チーム'!$B$5:$F$73,5,FALSE),2)</f>
        <v>福島</v>
      </c>
      <c r="N7" s="209"/>
      <c r="O7" s="199"/>
      <c r="P7" s="223"/>
      <c r="R7" s="99" t="str">
        <f>+"前"&amp;M6&amp;F6</f>
        <v>前ＦＣ</v>
      </c>
      <c r="S7" s="90">
        <f>+L6</f>
      </c>
      <c r="T7" s="90">
        <f>+H6</f>
      </c>
      <c r="U7" s="100">
        <f>+B4</f>
        <v>40315</v>
      </c>
    </row>
    <row r="8" spans="1:21" ht="15.75" customHeight="1">
      <c r="A8" s="226"/>
      <c r="B8" s="229"/>
      <c r="C8" s="235"/>
      <c r="D8" s="203">
        <v>3</v>
      </c>
      <c r="E8" s="218">
        <v>0.5902777777777778</v>
      </c>
      <c r="F8" s="80" t="s">
        <v>224</v>
      </c>
      <c r="G8" s="208" t="str">
        <f>VLOOKUP(F8,'参加チーム'!$B$5:$F$73,IF($M$2=1,3,4),FALSE)</f>
        <v>ｳﾞｫｽｸｵｰﾚ</v>
      </c>
      <c r="H8" s="203">
        <f>IF(I8&lt;&gt;"",I8+I9,"")</f>
      </c>
      <c r="I8" s="79"/>
      <c r="J8" s="204" t="s">
        <v>80</v>
      </c>
      <c r="K8" s="79"/>
      <c r="L8" s="203">
        <f>IF(K8&lt;&gt;"",K8+K9,"")</f>
      </c>
      <c r="M8" s="101" t="s">
        <v>229</v>
      </c>
      <c r="N8" s="208" t="str">
        <f>VLOOKUP(M8,'参加チーム'!$B$5:$F$73,IF($M$2=1,3,4),FALSE)</f>
        <v>東北大学</v>
      </c>
      <c r="O8" s="198" t="str">
        <f>+N8</f>
        <v>東北大学</v>
      </c>
      <c r="P8" s="223"/>
      <c r="R8" s="99" t="str">
        <f>+"前"&amp;F8&amp;M8</f>
        <v>前ＢG</v>
      </c>
      <c r="S8" s="90">
        <f>+H8</f>
      </c>
      <c r="T8" s="90">
        <f>+L8</f>
      </c>
      <c r="U8" s="100">
        <f>+B4</f>
        <v>40315</v>
      </c>
    </row>
    <row r="9" spans="1:21" ht="15.75" customHeight="1">
      <c r="A9" s="226"/>
      <c r="B9" s="229"/>
      <c r="C9" s="235"/>
      <c r="D9" s="202"/>
      <c r="E9" s="199"/>
      <c r="F9" s="78" t="str">
        <f>LEFT(VLOOKUP(F8,'参加チーム'!$B$5:$F$73,5,FALSE),2)</f>
        <v>宮城</v>
      </c>
      <c r="G9" s="209"/>
      <c r="H9" s="202"/>
      <c r="I9" s="79"/>
      <c r="J9" s="205"/>
      <c r="K9" s="79"/>
      <c r="L9" s="202"/>
      <c r="M9" s="78" t="str">
        <f>LEFT(VLOOKUP(M8,'参加チーム'!$B$5:$F$73,5,FALSE),2)</f>
        <v>宮城</v>
      </c>
      <c r="N9" s="209"/>
      <c r="O9" s="199"/>
      <c r="P9" s="223"/>
      <c r="R9" s="99" t="str">
        <f>+"前"&amp;M8&amp;F8</f>
        <v>前GＢ</v>
      </c>
      <c r="S9" s="90">
        <f>+L8</f>
      </c>
      <c r="T9" s="90">
        <f>+H8</f>
      </c>
      <c r="U9" s="100">
        <f>+B4</f>
        <v>40315</v>
      </c>
    </row>
    <row r="10" spans="1:21" ht="15.75" customHeight="1">
      <c r="A10" s="226"/>
      <c r="B10" s="229"/>
      <c r="C10" s="235"/>
      <c r="D10" s="219">
        <v>4</v>
      </c>
      <c r="E10" s="218">
        <v>0.6666666666666666</v>
      </c>
      <c r="F10" s="80" t="s">
        <v>223</v>
      </c>
      <c r="G10" s="206" t="str">
        <f>VLOOKUP(F10,'参加チーム'!$B$5:$F$73,IF($M$2=1,3,4),FALSE)</f>
        <v>BANFF</v>
      </c>
      <c r="H10" s="203">
        <f>IF(I10&lt;&gt;"",I10+I11,"")</f>
      </c>
      <c r="I10" s="79"/>
      <c r="J10" s="204" t="s">
        <v>80</v>
      </c>
      <c r="K10" s="79"/>
      <c r="L10" s="203">
        <f>IF(K10&lt;&gt;"",K10+K11,"")</f>
      </c>
      <c r="M10" s="101" t="s">
        <v>230</v>
      </c>
      <c r="N10" s="206" t="str">
        <f>VLOOKUP(M10,'参加チーム'!$B$5:$F$73,IF($M$2=1,3,4),FALSE)</f>
        <v>CROSS</v>
      </c>
      <c r="O10" s="198" t="str">
        <f>+N10</f>
        <v>CROSS</v>
      </c>
      <c r="P10" s="223"/>
      <c r="R10" s="99" t="str">
        <f>+"前"&amp;F10&amp;M10</f>
        <v>前ＡH</v>
      </c>
      <c r="S10" s="90">
        <f>+H10</f>
      </c>
      <c r="T10" s="90">
        <f>+L10</f>
      </c>
      <c r="U10" s="100">
        <f>+B4</f>
        <v>40315</v>
      </c>
    </row>
    <row r="11" spans="1:21" ht="15.75" customHeight="1" thickBot="1">
      <c r="A11" s="227"/>
      <c r="B11" s="230"/>
      <c r="C11" s="236"/>
      <c r="D11" s="221"/>
      <c r="E11" s="200"/>
      <c r="F11" s="78" t="str">
        <f>LEFT(VLOOKUP(F10,'参加チーム'!$B$5:$F$73,5,FALSE),2)</f>
        <v>宮城</v>
      </c>
      <c r="G11" s="207"/>
      <c r="H11" s="212"/>
      <c r="I11" s="82"/>
      <c r="J11" s="213"/>
      <c r="K11" s="82"/>
      <c r="L11" s="212"/>
      <c r="M11" s="78" t="str">
        <f>LEFT(VLOOKUP(M10,'参加チーム'!$B$5:$F$73,5,FALSE),2)</f>
        <v>岩手</v>
      </c>
      <c r="N11" s="207"/>
      <c r="O11" s="200"/>
      <c r="P11" s="224"/>
      <c r="R11" s="102" t="str">
        <f>+"前"&amp;M10&amp;F10</f>
        <v>前HＡ</v>
      </c>
      <c r="S11" s="103">
        <f>+L10</f>
      </c>
      <c r="T11" s="103">
        <f>+H10</f>
      </c>
      <c r="U11" s="104">
        <f>+B4</f>
        <v>40315</v>
      </c>
    </row>
    <row r="12" spans="1:21" ht="15.75" customHeight="1">
      <c r="A12" s="225">
        <v>2</v>
      </c>
      <c r="B12" s="228">
        <v>40343</v>
      </c>
      <c r="C12" s="231" t="s">
        <v>50</v>
      </c>
      <c r="D12" s="233">
        <v>1</v>
      </c>
      <c r="E12" s="237">
        <v>0.4375</v>
      </c>
      <c r="F12" s="76" t="s">
        <v>233</v>
      </c>
      <c r="G12" s="210" t="str">
        <f>VLOOKUP(F12,'参加チーム'!$B$5:$F$73,IF($M$2=1,3,4),FALSE)</f>
        <v>CROSS</v>
      </c>
      <c r="H12" s="201">
        <f>IF(I12&lt;&gt;"",I12+I13,"")</f>
      </c>
      <c r="I12" s="77"/>
      <c r="J12" s="215" t="s">
        <v>80</v>
      </c>
      <c r="K12" s="77"/>
      <c r="L12" s="201">
        <f>IF(K12&lt;&gt;"",K12+K13,"")</f>
      </c>
      <c r="M12" s="76" t="s">
        <v>234</v>
      </c>
      <c r="N12" s="210" t="str">
        <f>VLOOKUP(M12,'参加チーム'!$B$5:$F$73,IF($M$2=1,3,4),FALSE)</f>
        <v>ｳﾞｫｽｸｵｰﾚ</v>
      </c>
      <c r="O12" s="211" t="str">
        <f>+N12</f>
        <v>ｳﾞｫｽｸｵｰﾚ</v>
      </c>
      <c r="P12" s="222" t="str">
        <f>+G12</f>
        <v>CROSS</v>
      </c>
      <c r="R12" s="96" t="str">
        <f>+"前"&amp;F12&amp;M12</f>
        <v>前HＢ</v>
      </c>
      <c r="S12" s="97">
        <f>IF(H12&lt;&gt;"",H12,"")</f>
      </c>
      <c r="T12" s="97">
        <f>IF(L12&lt;&gt;"",L12,"")</f>
      </c>
      <c r="U12" s="98">
        <f>+B12</f>
        <v>40343</v>
      </c>
    </row>
    <row r="13" spans="1:21" ht="15.75" customHeight="1">
      <c r="A13" s="226"/>
      <c r="B13" s="229"/>
      <c r="C13" s="232"/>
      <c r="D13" s="220"/>
      <c r="E13" s="199"/>
      <c r="F13" s="78" t="str">
        <f>LEFT(VLOOKUP(F12,'参加チーム'!$B$5:$F$73,5,FALSE),2)</f>
        <v>岩手</v>
      </c>
      <c r="G13" s="209"/>
      <c r="H13" s="202"/>
      <c r="I13" s="79"/>
      <c r="J13" s="205"/>
      <c r="K13" s="79"/>
      <c r="L13" s="202"/>
      <c r="M13" s="78" t="str">
        <f>LEFT(VLOOKUP(M12,'参加チーム'!$B$5:$F$73,5,FALSE),2)</f>
        <v>宮城</v>
      </c>
      <c r="N13" s="209"/>
      <c r="O13" s="199"/>
      <c r="P13" s="223"/>
      <c r="R13" s="99" t="str">
        <f>+"前"&amp;M12&amp;F12</f>
        <v>前ＢH</v>
      </c>
      <c r="S13" s="90">
        <f>IF(L12&lt;&gt;"",L12,"")</f>
      </c>
      <c r="T13" s="90">
        <f>IF(H12&lt;&gt;"",H12,"")</f>
      </c>
      <c r="U13" s="100">
        <f>+B12</f>
        <v>40343</v>
      </c>
    </row>
    <row r="14" spans="1:21" ht="15.75" customHeight="1">
      <c r="A14" s="226"/>
      <c r="B14" s="229"/>
      <c r="C14" s="232"/>
      <c r="D14" s="219">
        <v>2</v>
      </c>
      <c r="E14" s="218">
        <v>0.513888888888889</v>
      </c>
      <c r="F14" s="80" t="s">
        <v>240</v>
      </c>
      <c r="G14" s="208" t="str">
        <f>VLOOKUP(F14,'参加チーム'!$B$5:$F$73,IF($M$2=1,3,4),FALSE)</f>
        <v>東北大学</v>
      </c>
      <c r="H14" s="203">
        <f>IF(I14&lt;&gt;"",I14+I15,"")</f>
      </c>
      <c r="I14" s="79"/>
      <c r="J14" s="204" t="s">
        <v>80</v>
      </c>
      <c r="K14" s="79"/>
      <c r="L14" s="203">
        <f>IF(K14&lt;&gt;"",K14+K15,"")</f>
      </c>
      <c r="M14" s="80" t="s">
        <v>239</v>
      </c>
      <c r="N14" s="208" t="str">
        <f>VLOOKUP(M14,'参加チーム'!$B$5:$F$73,IF($M$2=1,3,4),FALSE)</f>
        <v>BANFF</v>
      </c>
      <c r="O14" s="198" t="str">
        <f>+N14</f>
        <v>BANFF</v>
      </c>
      <c r="P14" s="223"/>
      <c r="R14" s="99" t="str">
        <f>+"前"&amp;F14&amp;M14</f>
        <v>前GＡ</v>
      </c>
      <c r="S14" s="90">
        <f>+H14</f>
      </c>
      <c r="T14" s="90">
        <f>+L14</f>
      </c>
      <c r="U14" s="100">
        <f>+B12</f>
        <v>40343</v>
      </c>
    </row>
    <row r="15" spans="1:21" ht="15.75" customHeight="1">
      <c r="A15" s="226"/>
      <c r="B15" s="229"/>
      <c r="C15" s="234" t="s">
        <v>222</v>
      </c>
      <c r="D15" s="220"/>
      <c r="E15" s="199"/>
      <c r="F15" s="78" t="str">
        <f>LEFT(VLOOKUP(F14,'参加チーム'!$B$5:$F$73,5,FALSE),2)</f>
        <v>宮城</v>
      </c>
      <c r="G15" s="209"/>
      <c r="H15" s="202"/>
      <c r="I15" s="79"/>
      <c r="J15" s="205"/>
      <c r="K15" s="79"/>
      <c r="L15" s="202"/>
      <c r="M15" s="78" t="str">
        <f>LEFT(VLOOKUP(M14,'参加チーム'!$B$5:$F$73,5,FALSE),2)</f>
        <v>宮城</v>
      </c>
      <c r="N15" s="209"/>
      <c r="O15" s="199"/>
      <c r="P15" s="223"/>
      <c r="R15" s="99" t="str">
        <f>+"前"&amp;M14&amp;F14</f>
        <v>前ＡG</v>
      </c>
      <c r="S15" s="90">
        <f>+L14</f>
      </c>
      <c r="T15" s="90">
        <f>+H14</f>
      </c>
      <c r="U15" s="100">
        <f>+B12</f>
        <v>40343</v>
      </c>
    </row>
    <row r="16" spans="1:21" ht="15.75" customHeight="1">
      <c r="A16" s="226"/>
      <c r="B16" s="229"/>
      <c r="C16" s="235"/>
      <c r="D16" s="203">
        <v>3</v>
      </c>
      <c r="E16" s="218">
        <v>0.5902777777777778</v>
      </c>
      <c r="F16" s="80" t="s">
        <v>237</v>
      </c>
      <c r="G16" s="208" t="str">
        <f>VLOOKUP(F16,'参加チーム'!$B$5:$F$73,IF($M$2=1,3,4),FALSE)</f>
        <v>volviendo</v>
      </c>
      <c r="H16" s="203">
        <f>IF(I16&lt;&gt;"",I16+I17,"")</f>
      </c>
      <c r="I16" s="79"/>
      <c r="J16" s="204" t="s">
        <v>80</v>
      </c>
      <c r="K16" s="79"/>
      <c r="L16" s="203">
        <f>IF(K16&lt;&gt;"",K16+K17,"")</f>
      </c>
      <c r="M16" s="80" t="s">
        <v>238</v>
      </c>
      <c r="N16" s="208" t="str">
        <f>VLOOKUP(M16,'参加チーム'!$B$5:$F$73,IF($M$2=1,3,4),FALSE)</f>
        <v>malva</v>
      </c>
      <c r="O16" s="198" t="str">
        <f>+N16</f>
        <v>malva</v>
      </c>
      <c r="P16" s="223"/>
      <c r="R16" s="99" t="str">
        <f>+"前"&amp;F16&amp;M16</f>
        <v>前ＦＤ</v>
      </c>
      <c r="S16" s="90">
        <f>+H16</f>
      </c>
      <c r="T16" s="90">
        <f>+L16</f>
      </c>
      <c r="U16" s="100">
        <f>+B12</f>
        <v>40343</v>
      </c>
    </row>
    <row r="17" spans="1:21" ht="15.75" customHeight="1">
      <c r="A17" s="226"/>
      <c r="B17" s="229"/>
      <c r="C17" s="235"/>
      <c r="D17" s="202"/>
      <c r="E17" s="199"/>
      <c r="F17" s="78" t="str">
        <f>LEFT(VLOOKUP(F16,'参加チーム'!$B$5:$F$73,5,FALSE),2)</f>
        <v>福島</v>
      </c>
      <c r="G17" s="209"/>
      <c r="H17" s="202"/>
      <c r="I17" s="79"/>
      <c r="J17" s="205"/>
      <c r="K17" s="79"/>
      <c r="L17" s="202"/>
      <c r="M17" s="78" t="str">
        <f>LEFT(VLOOKUP(M16,'参加チーム'!$B$5:$F$73,5,FALSE),2)</f>
        <v>山形</v>
      </c>
      <c r="N17" s="209"/>
      <c r="O17" s="199"/>
      <c r="P17" s="223"/>
      <c r="R17" s="99" t="str">
        <f>+"前"&amp;M16&amp;F16</f>
        <v>前ＤＦ</v>
      </c>
      <c r="S17" s="90">
        <f>+L16</f>
      </c>
      <c r="T17" s="90">
        <f>+H16</f>
      </c>
      <c r="U17" s="100">
        <f>+B12</f>
        <v>40343</v>
      </c>
    </row>
    <row r="18" spans="1:21" ht="15.75" customHeight="1">
      <c r="A18" s="226"/>
      <c r="B18" s="229"/>
      <c r="C18" s="235"/>
      <c r="D18" s="219">
        <v>4</v>
      </c>
      <c r="E18" s="218">
        <v>0.6666666666666666</v>
      </c>
      <c r="F18" s="80" t="s">
        <v>235</v>
      </c>
      <c r="G18" s="206" t="str">
        <f>VLOOKUP(F18,'参加チーム'!$B$5:$F$73,IF($M$2=1,3,4),FALSE)</f>
        <v>Sabedoria</v>
      </c>
      <c r="H18" s="203">
        <f>IF(I18&lt;&gt;"",I18+I19,"")</f>
      </c>
      <c r="I18" s="79"/>
      <c r="J18" s="204" t="s">
        <v>80</v>
      </c>
      <c r="K18" s="79"/>
      <c r="L18" s="203">
        <f>IF(K18&lt;&gt;"",K18+K19,"")</f>
      </c>
      <c r="M18" s="80" t="s">
        <v>236</v>
      </c>
      <c r="N18" s="206" t="str">
        <f>VLOOKUP(M18,'参加チーム'!$B$5:$F$73,IF($M$2=1,3,4),FALSE)</f>
        <v>かちかち山</v>
      </c>
      <c r="O18" s="198" t="str">
        <f>+N18</f>
        <v>かちかち山</v>
      </c>
      <c r="P18" s="223"/>
      <c r="R18" s="99" t="str">
        <f>+"前"&amp;F18&amp;M18</f>
        <v>前ＥＣ</v>
      </c>
      <c r="S18" s="90">
        <f>+H18</f>
      </c>
      <c r="T18" s="90">
        <f>+L18</f>
      </c>
      <c r="U18" s="100">
        <f>+B12</f>
        <v>40343</v>
      </c>
    </row>
    <row r="19" spans="1:21" ht="15.75" customHeight="1" thickBot="1">
      <c r="A19" s="227"/>
      <c r="B19" s="230"/>
      <c r="C19" s="236"/>
      <c r="D19" s="221"/>
      <c r="E19" s="200"/>
      <c r="F19" s="78" t="str">
        <f>LEFT(VLOOKUP(F18,'参加チーム'!$B$5:$F$73,5,FALSE),2)</f>
        <v>岩手</v>
      </c>
      <c r="G19" s="207"/>
      <c r="H19" s="212"/>
      <c r="I19" s="82"/>
      <c r="J19" s="213"/>
      <c r="K19" s="82"/>
      <c r="L19" s="212"/>
      <c r="M19" s="78" t="str">
        <f>LEFT(VLOOKUP(M18,'参加チーム'!$B$5:$F$73,5,FALSE),2)</f>
        <v>福島</v>
      </c>
      <c r="N19" s="207"/>
      <c r="O19" s="200"/>
      <c r="P19" s="224"/>
      <c r="R19" s="102" t="str">
        <f>+"前"&amp;M18&amp;F18</f>
        <v>前ＣＥ</v>
      </c>
      <c r="S19" s="103">
        <f>+L18</f>
      </c>
      <c r="T19" s="103">
        <f>+H18</f>
      </c>
      <c r="U19" s="104">
        <f>+B12</f>
        <v>40343</v>
      </c>
    </row>
    <row r="20" spans="1:21" ht="15.75" customHeight="1">
      <c r="A20" s="225">
        <v>3</v>
      </c>
      <c r="B20" s="228">
        <v>40350</v>
      </c>
      <c r="C20" s="231" t="s">
        <v>101</v>
      </c>
      <c r="D20" s="233">
        <v>1</v>
      </c>
      <c r="E20" s="237">
        <v>0.4375</v>
      </c>
      <c r="F20" s="76" t="s">
        <v>236</v>
      </c>
      <c r="G20" s="210" t="str">
        <f>VLOOKUP(F20,'参加チーム'!$B$5:$F$73,IF($M$2=1,3,4),FALSE)</f>
        <v>かちかち山</v>
      </c>
      <c r="H20" s="201">
        <f>IF(I20&lt;&gt;"",I20+I21,"")</f>
      </c>
      <c r="I20" s="77"/>
      <c r="J20" s="215" t="s">
        <v>80</v>
      </c>
      <c r="K20" s="77"/>
      <c r="L20" s="201">
        <f>IF(K20&lt;&gt;"",K20+K21,"")</f>
      </c>
      <c r="M20" s="76" t="s">
        <v>233</v>
      </c>
      <c r="N20" s="210" t="str">
        <f>VLOOKUP(M20,'参加チーム'!$B$5:$F$73,IF($M$2=1,3,4),FALSE)</f>
        <v>CROSS</v>
      </c>
      <c r="O20" s="211" t="str">
        <f>+N20</f>
        <v>CROSS</v>
      </c>
      <c r="P20" s="222" t="str">
        <f>+G20</f>
        <v>かちかち山</v>
      </c>
      <c r="R20" s="96" t="str">
        <f>+"前"&amp;F20&amp;M20</f>
        <v>前ＣH</v>
      </c>
      <c r="S20" s="97">
        <f>IF(H20&lt;&gt;"",H20,"")</f>
      </c>
      <c r="T20" s="97">
        <f>IF(L20&lt;&gt;"",L20,"")</f>
      </c>
      <c r="U20" s="98">
        <f>+B20</f>
        <v>40350</v>
      </c>
    </row>
    <row r="21" spans="1:21" ht="15.75" customHeight="1">
      <c r="A21" s="226"/>
      <c r="B21" s="229"/>
      <c r="C21" s="232"/>
      <c r="D21" s="220"/>
      <c r="E21" s="199"/>
      <c r="F21" s="78" t="str">
        <f>LEFT(VLOOKUP(F20,'参加チーム'!$B$5:$F$73,5,FALSE),2)</f>
        <v>福島</v>
      </c>
      <c r="G21" s="209"/>
      <c r="H21" s="202"/>
      <c r="I21" s="79"/>
      <c r="J21" s="205"/>
      <c r="K21" s="79"/>
      <c r="L21" s="202"/>
      <c r="M21" s="78" t="str">
        <f>LEFT(VLOOKUP(M20,'参加チーム'!$B$5:$F$73,5,FALSE),2)</f>
        <v>岩手</v>
      </c>
      <c r="N21" s="209"/>
      <c r="O21" s="199"/>
      <c r="P21" s="223"/>
      <c r="R21" s="99" t="str">
        <f>+"前"&amp;M20&amp;F20</f>
        <v>前HＣ</v>
      </c>
      <c r="S21" s="90">
        <f>IF(L20&lt;&gt;"",L20,"")</f>
      </c>
      <c r="T21" s="90">
        <f>IF(H20&lt;&gt;"",H20,"")</f>
      </c>
      <c r="U21" s="100">
        <f>+B20</f>
        <v>40350</v>
      </c>
    </row>
    <row r="22" spans="1:21" ht="15.75" customHeight="1">
      <c r="A22" s="226"/>
      <c r="B22" s="229"/>
      <c r="C22" s="232"/>
      <c r="D22" s="219">
        <v>2</v>
      </c>
      <c r="E22" s="218">
        <v>0.513888888888889</v>
      </c>
      <c r="F22" s="80" t="s">
        <v>234</v>
      </c>
      <c r="G22" s="208" t="str">
        <f>VLOOKUP(F22,'参加チーム'!$B$5:$F$73,IF($M$2=1,3,4),FALSE)</f>
        <v>ｳﾞｫｽｸｵｰﾚ</v>
      </c>
      <c r="H22" s="203">
        <f>IF(I22&lt;&gt;"",I22+I23,"")</f>
      </c>
      <c r="I22" s="79"/>
      <c r="J22" s="204" t="s">
        <v>80</v>
      </c>
      <c r="K22" s="79"/>
      <c r="L22" s="203">
        <f>IF(K22&lt;&gt;"",K22+K23,"")</f>
      </c>
      <c r="M22" s="80" t="s">
        <v>235</v>
      </c>
      <c r="N22" s="208" t="str">
        <f>VLOOKUP(M22,'参加チーム'!$B$5:$F$73,IF($M$2=1,3,4),FALSE)</f>
        <v>Sabedoria</v>
      </c>
      <c r="O22" s="198" t="str">
        <f>+N22</f>
        <v>Sabedoria</v>
      </c>
      <c r="P22" s="223"/>
      <c r="R22" s="99" t="str">
        <f>+"前"&amp;F22&amp;M22</f>
        <v>前ＢＥ</v>
      </c>
      <c r="S22" s="90">
        <f>+H22</f>
      </c>
      <c r="T22" s="90">
        <f>+L22</f>
      </c>
      <c r="U22" s="100">
        <f>+B20</f>
        <v>40350</v>
      </c>
    </row>
    <row r="23" spans="1:21" ht="15.75" customHeight="1">
      <c r="A23" s="226"/>
      <c r="B23" s="229"/>
      <c r="C23" s="234" t="s">
        <v>159</v>
      </c>
      <c r="D23" s="220"/>
      <c r="E23" s="199"/>
      <c r="F23" s="78" t="str">
        <f>LEFT(VLOOKUP(F22,'参加チーム'!$B$5:$F$73,5,FALSE),2)</f>
        <v>宮城</v>
      </c>
      <c r="G23" s="209"/>
      <c r="H23" s="202"/>
      <c r="I23" s="79"/>
      <c r="J23" s="205"/>
      <c r="K23" s="79"/>
      <c r="L23" s="202"/>
      <c r="M23" s="78" t="str">
        <f>LEFT(VLOOKUP(M22,'参加チーム'!$B$5:$F$73,5,FALSE),2)</f>
        <v>岩手</v>
      </c>
      <c r="N23" s="209"/>
      <c r="O23" s="199"/>
      <c r="P23" s="223"/>
      <c r="R23" s="99" t="str">
        <f>+"前"&amp;M22&amp;F22</f>
        <v>前ＥＢ</v>
      </c>
      <c r="S23" s="90">
        <f>+L22</f>
      </c>
      <c r="T23" s="90">
        <f>+H22</f>
      </c>
      <c r="U23" s="100">
        <f>+B20</f>
        <v>40350</v>
      </c>
    </row>
    <row r="24" spans="1:21" ht="15.75" customHeight="1">
      <c r="A24" s="226"/>
      <c r="B24" s="229"/>
      <c r="C24" s="235"/>
      <c r="D24" s="203">
        <v>3</v>
      </c>
      <c r="E24" s="218">
        <v>0.5902777777777778</v>
      </c>
      <c r="F24" s="80" t="s">
        <v>238</v>
      </c>
      <c r="G24" s="208" t="str">
        <f>VLOOKUP(F24,'参加チーム'!$B$5:$F$73,IF($M$2=1,3,4),FALSE)</f>
        <v>malva</v>
      </c>
      <c r="H24" s="203">
        <f>IF(I24&lt;&gt;"",I24+I25,"")</f>
      </c>
      <c r="I24" s="79"/>
      <c r="J24" s="204" t="s">
        <v>80</v>
      </c>
      <c r="K24" s="79"/>
      <c r="L24" s="203">
        <f>IF(K24&lt;&gt;"",K24+K25,"")</f>
      </c>
      <c r="M24" s="80" t="s">
        <v>240</v>
      </c>
      <c r="N24" s="208" t="str">
        <f>VLOOKUP(M24,'参加チーム'!$B$5:$F$73,IF($M$2=1,3,4),FALSE)</f>
        <v>東北大学</v>
      </c>
      <c r="O24" s="198" t="str">
        <f>+N24</f>
        <v>東北大学</v>
      </c>
      <c r="P24" s="223"/>
      <c r="R24" s="99" t="str">
        <f>+"前"&amp;F24&amp;M24</f>
        <v>前ＤG</v>
      </c>
      <c r="S24" s="90">
        <f>+H24</f>
      </c>
      <c r="T24" s="90">
        <f>+L24</f>
      </c>
      <c r="U24" s="100">
        <f>+B20</f>
        <v>40350</v>
      </c>
    </row>
    <row r="25" spans="1:21" ht="15.75" customHeight="1">
      <c r="A25" s="226"/>
      <c r="B25" s="229"/>
      <c r="C25" s="235"/>
      <c r="D25" s="202"/>
      <c r="E25" s="199"/>
      <c r="F25" s="78" t="str">
        <f>LEFT(VLOOKUP(F24,'参加チーム'!$B$5:$F$73,5,FALSE),2)</f>
        <v>山形</v>
      </c>
      <c r="G25" s="209"/>
      <c r="H25" s="202"/>
      <c r="I25" s="79"/>
      <c r="J25" s="205"/>
      <c r="K25" s="79"/>
      <c r="L25" s="202"/>
      <c r="M25" s="78" t="str">
        <f>LEFT(VLOOKUP(M24,'参加チーム'!$B$5:$F$73,5,FALSE),2)</f>
        <v>宮城</v>
      </c>
      <c r="N25" s="209"/>
      <c r="O25" s="199"/>
      <c r="P25" s="223"/>
      <c r="R25" s="99" t="str">
        <f>+"前"&amp;M24&amp;F24</f>
        <v>前GＤ</v>
      </c>
      <c r="S25" s="90">
        <f>+L24</f>
      </c>
      <c r="T25" s="90">
        <f>+H24</f>
      </c>
      <c r="U25" s="100">
        <f>+B20</f>
        <v>40350</v>
      </c>
    </row>
    <row r="26" spans="1:21" ht="15.75" customHeight="1">
      <c r="A26" s="226"/>
      <c r="B26" s="229"/>
      <c r="C26" s="235"/>
      <c r="D26" s="219">
        <v>4</v>
      </c>
      <c r="E26" s="218">
        <v>0.6666666666666666</v>
      </c>
      <c r="F26" s="80" t="s">
        <v>239</v>
      </c>
      <c r="G26" s="206" t="str">
        <f>VLOOKUP(F26,'参加チーム'!$B$5:$F$73,IF($M$2=1,3,4),FALSE)</f>
        <v>BANFF</v>
      </c>
      <c r="H26" s="203">
        <f>IF(I26&lt;&gt;"",I26+I27,"")</f>
      </c>
      <c r="I26" s="79"/>
      <c r="J26" s="204" t="s">
        <v>80</v>
      </c>
      <c r="K26" s="79"/>
      <c r="L26" s="203">
        <f>IF(K26&lt;&gt;"",K26+K27,"")</f>
      </c>
      <c r="M26" s="80" t="s">
        <v>237</v>
      </c>
      <c r="N26" s="206" t="str">
        <f>VLOOKUP(M26,'参加チーム'!$B$5:$F$73,IF($M$2=1,3,4),FALSE)</f>
        <v>volviendo</v>
      </c>
      <c r="O26" s="198" t="str">
        <f>+N26</f>
        <v>volviendo</v>
      </c>
      <c r="P26" s="223"/>
      <c r="R26" s="99" t="str">
        <f>+"前"&amp;F26&amp;M26</f>
        <v>前ＡＦ</v>
      </c>
      <c r="S26" s="90">
        <f>+H26</f>
      </c>
      <c r="T26" s="90">
        <f>+L26</f>
      </c>
      <c r="U26" s="100">
        <f>+B20</f>
        <v>40350</v>
      </c>
    </row>
    <row r="27" spans="1:21" ht="15.75" customHeight="1" thickBot="1">
      <c r="A27" s="227"/>
      <c r="B27" s="230"/>
      <c r="C27" s="236"/>
      <c r="D27" s="221"/>
      <c r="E27" s="200"/>
      <c r="F27" s="78" t="str">
        <f>LEFT(VLOOKUP(F26,'参加チーム'!$B$5:$F$73,5,FALSE),2)</f>
        <v>宮城</v>
      </c>
      <c r="G27" s="207"/>
      <c r="H27" s="212"/>
      <c r="I27" s="82"/>
      <c r="J27" s="213"/>
      <c r="K27" s="82"/>
      <c r="L27" s="212"/>
      <c r="M27" s="78" t="str">
        <f>LEFT(VLOOKUP(M26,'参加チーム'!$B$5:$F$73,5,FALSE),2)</f>
        <v>福島</v>
      </c>
      <c r="N27" s="207"/>
      <c r="O27" s="200"/>
      <c r="P27" s="224"/>
      <c r="R27" s="102" t="str">
        <f>+"前"&amp;M26&amp;F26</f>
        <v>前ＦＡ</v>
      </c>
      <c r="S27" s="103">
        <f>+L26</f>
      </c>
      <c r="T27" s="103">
        <f>+H26</f>
      </c>
      <c r="U27" s="104">
        <f>+B20</f>
        <v>40350</v>
      </c>
    </row>
    <row r="28" spans="1:21" ht="15.75" customHeight="1">
      <c r="A28" s="225">
        <v>4</v>
      </c>
      <c r="B28" s="228">
        <v>40364</v>
      </c>
      <c r="C28" s="231" t="s">
        <v>81</v>
      </c>
      <c r="D28" s="233">
        <v>1</v>
      </c>
      <c r="E28" s="237">
        <v>0.4375</v>
      </c>
      <c r="F28" s="76" t="s">
        <v>235</v>
      </c>
      <c r="G28" s="210" t="str">
        <f>VLOOKUP(F28,'参加チーム'!$B$5:$F$73,IF($M$2=1,3,4),FALSE)</f>
        <v>Sabedoria</v>
      </c>
      <c r="H28" s="201">
        <f>IF(I28&lt;&gt;"",I28+I29,"")</f>
      </c>
      <c r="I28" s="77"/>
      <c r="J28" s="215" t="s">
        <v>80</v>
      </c>
      <c r="K28" s="77"/>
      <c r="L28" s="201">
        <f>IF(K28&lt;&gt;"",K28+K29,"")</f>
      </c>
      <c r="M28" s="76" t="s">
        <v>239</v>
      </c>
      <c r="N28" s="210" t="str">
        <f>VLOOKUP(M28,'参加チーム'!$B$5:$F$73,IF($M$2=1,3,4),FALSE)</f>
        <v>BANFF</v>
      </c>
      <c r="O28" s="211" t="str">
        <f>+N28</f>
        <v>BANFF</v>
      </c>
      <c r="P28" s="222" t="str">
        <f>+N32</f>
        <v>ｳﾞｫｽｸｵｰﾚ</v>
      </c>
      <c r="R28" s="96" t="str">
        <f>+"前"&amp;F28&amp;M28</f>
        <v>前ＥＡ</v>
      </c>
      <c r="S28" s="97">
        <f>IF(H28&lt;&gt;"",H28,"")</f>
      </c>
      <c r="T28" s="97">
        <f>IF(L28&lt;&gt;"",L28,"")</f>
      </c>
      <c r="U28" s="98">
        <f>+B28</f>
        <v>40364</v>
      </c>
    </row>
    <row r="29" spans="1:21" ht="15.75" customHeight="1">
      <c r="A29" s="226"/>
      <c r="B29" s="229"/>
      <c r="C29" s="232"/>
      <c r="D29" s="220"/>
      <c r="E29" s="199"/>
      <c r="F29" s="78" t="str">
        <f>LEFT(VLOOKUP(F28,'参加チーム'!$B$5:$F$73,5,FALSE),2)</f>
        <v>岩手</v>
      </c>
      <c r="G29" s="209"/>
      <c r="H29" s="202"/>
      <c r="I29" s="79"/>
      <c r="J29" s="205"/>
      <c r="K29" s="79"/>
      <c r="L29" s="202"/>
      <c r="M29" s="78" t="str">
        <f>LEFT(VLOOKUP(M28,'参加チーム'!$B$5:$F$73,5,FALSE),2)</f>
        <v>宮城</v>
      </c>
      <c r="N29" s="209"/>
      <c r="O29" s="199"/>
      <c r="P29" s="223"/>
      <c r="R29" s="99" t="str">
        <f>+"前"&amp;M28&amp;F28</f>
        <v>前ＡＥ</v>
      </c>
      <c r="S29" s="90">
        <f>IF(L28&lt;&gt;"",L28,"")</f>
      </c>
      <c r="T29" s="90">
        <f>IF(H28&lt;&gt;"",H28,"")</f>
      </c>
      <c r="U29" s="100">
        <f>+B28</f>
        <v>40364</v>
      </c>
    </row>
    <row r="30" spans="1:21" ht="15.75" customHeight="1">
      <c r="A30" s="226"/>
      <c r="B30" s="229"/>
      <c r="C30" s="232"/>
      <c r="D30" s="219">
        <v>2</v>
      </c>
      <c r="E30" s="218">
        <v>0.513888888888889</v>
      </c>
      <c r="F30" s="80" t="s">
        <v>236</v>
      </c>
      <c r="G30" s="208" t="str">
        <f>VLOOKUP(F30,'参加チーム'!$B$5:$F$73,IF($M$2=1,3,4),FALSE)</f>
        <v>かちかち山</v>
      </c>
      <c r="H30" s="203">
        <f>IF(I30&lt;&gt;"",I30+I31,"")</f>
      </c>
      <c r="I30" s="79"/>
      <c r="J30" s="204" t="s">
        <v>80</v>
      </c>
      <c r="K30" s="79"/>
      <c r="L30" s="203">
        <f>IF(K30&lt;&gt;"",K30+K31,"")</f>
      </c>
      <c r="M30" s="80" t="s">
        <v>238</v>
      </c>
      <c r="N30" s="208" t="str">
        <f>VLOOKUP(M30,'参加チーム'!$B$5:$F$73,IF($M$2=1,3,4),FALSE)</f>
        <v>malva</v>
      </c>
      <c r="O30" s="198" t="str">
        <f>+N30</f>
        <v>malva</v>
      </c>
      <c r="P30" s="223"/>
      <c r="R30" s="99" t="str">
        <f>+"前"&amp;F30&amp;M30</f>
        <v>前ＣＤ</v>
      </c>
      <c r="S30" s="90">
        <f>+H30</f>
      </c>
      <c r="T30" s="90">
        <f>+L30</f>
      </c>
      <c r="U30" s="100">
        <f>+B28</f>
        <v>40364</v>
      </c>
    </row>
    <row r="31" spans="1:21" ht="15.75" customHeight="1">
      <c r="A31" s="226"/>
      <c r="B31" s="229"/>
      <c r="C31" s="238" t="s">
        <v>221</v>
      </c>
      <c r="D31" s="220"/>
      <c r="E31" s="199"/>
      <c r="F31" s="78" t="str">
        <f>LEFT(VLOOKUP(F30,'参加チーム'!$B$5:$F$73,5,FALSE),2)</f>
        <v>福島</v>
      </c>
      <c r="G31" s="209"/>
      <c r="H31" s="202"/>
      <c r="I31" s="79"/>
      <c r="J31" s="205"/>
      <c r="K31" s="79"/>
      <c r="L31" s="202"/>
      <c r="M31" s="78" t="str">
        <f>LEFT(VLOOKUP(M30,'参加チーム'!$B$5:$F$73,5,FALSE),2)</f>
        <v>山形</v>
      </c>
      <c r="N31" s="209"/>
      <c r="O31" s="199"/>
      <c r="P31" s="223"/>
      <c r="R31" s="99" t="str">
        <f>+"前"&amp;M30&amp;F30</f>
        <v>前ＤＣ</v>
      </c>
      <c r="S31" s="90">
        <f>+L30</f>
      </c>
      <c r="T31" s="90">
        <f>+H30</f>
      </c>
      <c r="U31" s="100">
        <f>+B28</f>
        <v>40364</v>
      </c>
    </row>
    <row r="32" spans="1:21" ht="15.75" customHeight="1">
      <c r="A32" s="226"/>
      <c r="B32" s="229"/>
      <c r="C32" s="239"/>
      <c r="D32" s="203">
        <v>3</v>
      </c>
      <c r="E32" s="218">
        <v>0.5902777777777778</v>
      </c>
      <c r="F32" s="80" t="s">
        <v>237</v>
      </c>
      <c r="G32" s="208" t="str">
        <f>VLOOKUP(F32,'参加チーム'!$B$5:$F$73,IF($M$2=1,3,4),FALSE)</f>
        <v>volviendo</v>
      </c>
      <c r="H32" s="203">
        <f>IF(I32&lt;&gt;"",I32+I33,"")</f>
      </c>
      <c r="I32" s="79"/>
      <c r="J32" s="204" t="s">
        <v>80</v>
      </c>
      <c r="K32" s="79"/>
      <c r="L32" s="203">
        <f>IF(K32&lt;&gt;"",K32+K33,"")</f>
      </c>
      <c r="M32" s="80" t="s">
        <v>234</v>
      </c>
      <c r="N32" s="208" t="str">
        <f>VLOOKUP(M32,'参加チーム'!$B$5:$F$73,IF($M$2=1,3,4),FALSE)</f>
        <v>ｳﾞｫｽｸｵｰﾚ</v>
      </c>
      <c r="O32" s="198" t="str">
        <f>+N32</f>
        <v>ｳﾞｫｽｸｵｰﾚ</v>
      </c>
      <c r="P32" s="223"/>
      <c r="R32" s="99" t="str">
        <f>+"前"&amp;F32&amp;M32</f>
        <v>前ＦＢ</v>
      </c>
      <c r="S32" s="90">
        <f>+H32</f>
      </c>
      <c r="T32" s="90">
        <f>+L32</f>
      </c>
      <c r="U32" s="100">
        <f>+B28</f>
        <v>40364</v>
      </c>
    </row>
    <row r="33" spans="1:21" ht="15.75" customHeight="1">
      <c r="A33" s="226"/>
      <c r="B33" s="229"/>
      <c r="C33" s="239"/>
      <c r="D33" s="202"/>
      <c r="E33" s="199"/>
      <c r="F33" s="78" t="str">
        <f>LEFT(VLOOKUP(F32,'参加チーム'!$B$5:$F$73,5,FALSE),2)</f>
        <v>福島</v>
      </c>
      <c r="G33" s="209"/>
      <c r="H33" s="202"/>
      <c r="I33" s="79"/>
      <c r="J33" s="205"/>
      <c r="K33" s="79"/>
      <c r="L33" s="202"/>
      <c r="M33" s="78" t="str">
        <f>LEFT(VLOOKUP(M32,'参加チーム'!$B$5:$F$73,5,FALSE),2)</f>
        <v>宮城</v>
      </c>
      <c r="N33" s="209"/>
      <c r="O33" s="199"/>
      <c r="P33" s="223"/>
      <c r="R33" s="99" t="str">
        <f>+"前"&amp;M32&amp;F32</f>
        <v>前ＢＦ</v>
      </c>
      <c r="S33" s="90">
        <f>+L32</f>
      </c>
      <c r="T33" s="90">
        <f>+H32</f>
      </c>
      <c r="U33" s="100">
        <f>+B28</f>
        <v>40364</v>
      </c>
    </row>
    <row r="34" spans="1:21" ht="15.75" customHeight="1">
      <c r="A34" s="226"/>
      <c r="B34" s="229"/>
      <c r="C34" s="239"/>
      <c r="D34" s="435">
        <v>4</v>
      </c>
      <c r="E34" s="436">
        <v>0.6666666666666666</v>
      </c>
      <c r="F34" s="437" t="s">
        <v>240</v>
      </c>
      <c r="G34" s="438" t="str">
        <f>VLOOKUP(F34,'参加チーム'!$B$5:$F$73,IF($M$2=1,3,4),FALSE)</f>
        <v>東北大学</v>
      </c>
      <c r="H34" s="439">
        <f>IF(I34&lt;&gt;"",I34+I35,"")</f>
      </c>
      <c r="I34" s="440"/>
      <c r="J34" s="441" t="s">
        <v>80</v>
      </c>
      <c r="K34" s="440"/>
      <c r="L34" s="439">
        <f>IF(K34&lt;&gt;"",K34+K35,"")</f>
      </c>
      <c r="M34" s="437" t="s">
        <v>233</v>
      </c>
      <c r="N34" s="438" t="str">
        <f>VLOOKUP(M34,'参加チーム'!$B$5:$F$73,IF($M$2=1,3,4),FALSE)</f>
        <v>CROSS</v>
      </c>
      <c r="O34" s="442" t="str">
        <f>+N34</f>
        <v>CROSS</v>
      </c>
      <c r="P34" s="223"/>
      <c r="R34" s="99" t="str">
        <f>+"前"&amp;F34&amp;M34</f>
        <v>前GH</v>
      </c>
      <c r="S34" s="90">
        <f>+H34</f>
      </c>
      <c r="T34" s="90">
        <f>+L34</f>
      </c>
      <c r="U34" s="100">
        <f>+B28</f>
        <v>40364</v>
      </c>
    </row>
    <row r="35" spans="1:21" ht="15.75" customHeight="1" thickBot="1">
      <c r="A35" s="227"/>
      <c r="B35" s="230"/>
      <c r="C35" s="240"/>
      <c r="D35" s="443"/>
      <c r="E35" s="444"/>
      <c r="F35" s="445" t="str">
        <f>LEFT(VLOOKUP(F34,'参加チーム'!$B$5:$F$73,5,FALSE),2)</f>
        <v>宮城</v>
      </c>
      <c r="G35" s="446"/>
      <c r="H35" s="447"/>
      <c r="I35" s="448"/>
      <c r="J35" s="449"/>
      <c r="K35" s="448"/>
      <c r="L35" s="447"/>
      <c r="M35" s="445" t="str">
        <f>LEFT(VLOOKUP(M34,'参加チーム'!$B$5:$F$73,5,FALSE),2)</f>
        <v>岩手</v>
      </c>
      <c r="N35" s="446"/>
      <c r="O35" s="444"/>
      <c r="P35" s="224"/>
      <c r="R35" s="102" t="str">
        <f>+"前"&amp;M34&amp;F34</f>
        <v>前HG</v>
      </c>
      <c r="S35" s="103">
        <f>+L34</f>
      </c>
      <c r="T35" s="103">
        <f>+H34</f>
      </c>
      <c r="U35" s="104">
        <f>+B28</f>
        <v>40364</v>
      </c>
    </row>
    <row r="36" spans="1:21" ht="15.75" customHeight="1">
      <c r="A36" s="225">
        <v>5</v>
      </c>
      <c r="B36" s="228">
        <v>40379</v>
      </c>
      <c r="C36" s="231" t="s">
        <v>81</v>
      </c>
      <c r="D36" s="233">
        <v>1</v>
      </c>
      <c r="E36" s="237">
        <v>0.4375</v>
      </c>
      <c r="F36" s="76" t="s">
        <v>237</v>
      </c>
      <c r="G36" s="210" t="str">
        <f>VLOOKUP(F36,'参加チーム'!$B$5:$F$73,IF($M$2=1,3,4),FALSE)</f>
        <v>volviendo</v>
      </c>
      <c r="H36" s="201">
        <f>IF(I36&lt;&gt;"",I36+I37,"")</f>
      </c>
      <c r="I36" s="77"/>
      <c r="J36" s="215" t="s">
        <v>80</v>
      </c>
      <c r="K36" s="77"/>
      <c r="L36" s="201">
        <f>IF(K36&lt;&gt;"",K36+K37,"")</f>
      </c>
      <c r="M36" s="76" t="s">
        <v>240</v>
      </c>
      <c r="N36" s="210" t="str">
        <f>VLOOKUP(M36,'参加チーム'!$B$5:$F$73,IF($M$2=1,3,4),FALSE)</f>
        <v>東北大学</v>
      </c>
      <c r="O36" s="211" t="str">
        <f>+N36</f>
        <v>東北大学</v>
      </c>
      <c r="P36" s="222" t="str">
        <f>+N36</f>
        <v>東北大学</v>
      </c>
      <c r="R36" s="96" t="str">
        <f>+"前"&amp;F36&amp;M36</f>
        <v>前ＦG</v>
      </c>
      <c r="S36" s="97">
        <f>IF(H36&lt;&gt;"",H36,"")</f>
      </c>
      <c r="T36" s="97">
        <f>IF(L36&lt;&gt;"",L36,"")</f>
      </c>
      <c r="U36" s="98">
        <f>+B36</f>
        <v>40379</v>
      </c>
    </row>
    <row r="37" spans="1:21" ht="15.75" customHeight="1">
      <c r="A37" s="226"/>
      <c r="B37" s="229"/>
      <c r="C37" s="232"/>
      <c r="D37" s="220"/>
      <c r="E37" s="199"/>
      <c r="F37" s="78" t="str">
        <f>LEFT(VLOOKUP(F36,'参加チーム'!$B$5:$F$73,5,FALSE),2)</f>
        <v>福島</v>
      </c>
      <c r="G37" s="209"/>
      <c r="H37" s="202"/>
      <c r="I37" s="79"/>
      <c r="J37" s="205"/>
      <c r="K37" s="79"/>
      <c r="L37" s="202"/>
      <c r="M37" s="78" t="str">
        <f>LEFT(VLOOKUP(M36,'参加チーム'!$B$5:$F$73,5,FALSE),2)</f>
        <v>宮城</v>
      </c>
      <c r="N37" s="209"/>
      <c r="O37" s="199"/>
      <c r="P37" s="223"/>
      <c r="R37" s="99" t="str">
        <f>+"前"&amp;M36&amp;F36</f>
        <v>前GＦ</v>
      </c>
      <c r="S37" s="90">
        <f>IF(L36&lt;&gt;"",L36,"")</f>
      </c>
      <c r="T37" s="90">
        <f>IF(H36&lt;&gt;"",H36,"")</f>
      </c>
      <c r="U37" s="100">
        <f>+B36</f>
        <v>40379</v>
      </c>
    </row>
    <row r="38" spans="1:21" ht="15.75" customHeight="1">
      <c r="A38" s="226"/>
      <c r="B38" s="229"/>
      <c r="C38" s="232"/>
      <c r="D38" s="219">
        <v>2</v>
      </c>
      <c r="E38" s="218">
        <v>0.513888888888889</v>
      </c>
      <c r="F38" s="80" t="s">
        <v>233</v>
      </c>
      <c r="G38" s="208" t="str">
        <f>VLOOKUP(F38,'参加チーム'!$B$5:$F$73,IF($M$2=1,3,4),FALSE)</f>
        <v>CROSS</v>
      </c>
      <c r="H38" s="203">
        <f>IF(I38&lt;&gt;"",I38+I39,"")</f>
      </c>
      <c r="I38" s="79"/>
      <c r="J38" s="204" t="s">
        <v>80</v>
      </c>
      <c r="K38" s="79"/>
      <c r="L38" s="203">
        <f>IF(K38&lt;&gt;"",K38+K39,"")</f>
      </c>
      <c r="M38" s="80" t="s">
        <v>235</v>
      </c>
      <c r="N38" s="208" t="str">
        <f>VLOOKUP(M38,'参加チーム'!$B$5:$F$73,IF($M$2=1,3,4),FALSE)</f>
        <v>Sabedoria</v>
      </c>
      <c r="O38" s="198" t="str">
        <f>+N38</f>
        <v>Sabedoria</v>
      </c>
      <c r="P38" s="223"/>
      <c r="R38" s="99" t="str">
        <f>+"前"&amp;F38&amp;M38</f>
        <v>前HＥ</v>
      </c>
      <c r="S38" s="90">
        <f>+H38</f>
      </c>
      <c r="T38" s="90">
        <f>+L38</f>
      </c>
      <c r="U38" s="100">
        <f>+B36</f>
        <v>40379</v>
      </c>
    </row>
    <row r="39" spans="1:21" ht="15.75" customHeight="1">
      <c r="A39" s="226"/>
      <c r="B39" s="229"/>
      <c r="C39" s="234" t="s">
        <v>153</v>
      </c>
      <c r="D39" s="220"/>
      <c r="E39" s="199"/>
      <c r="F39" s="78" t="str">
        <f>LEFT(VLOOKUP(F38,'参加チーム'!$B$5:$F$73,5,FALSE),2)</f>
        <v>岩手</v>
      </c>
      <c r="G39" s="209"/>
      <c r="H39" s="202"/>
      <c r="I39" s="79"/>
      <c r="J39" s="205"/>
      <c r="K39" s="79"/>
      <c r="L39" s="202"/>
      <c r="M39" s="78" t="str">
        <f>LEFT(VLOOKUP(M38,'参加チーム'!$B$5:$F$73,5,FALSE),2)</f>
        <v>岩手</v>
      </c>
      <c r="N39" s="209"/>
      <c r="O39" s="199"/>
      <c r="P39" s="223"/>
      <c r="R39" s="99" t="str">
        <f>+"前"&amp;M38&amp;F38</f>
        <v>前ＥH</v>
      </c>
      <c r="S39" s="90">
        <f>+L38</f>
      </c>
      <c r="T39" s="90">
        <f>+H38</f>
      </c>
      <c r="U39" s="100">
        <f>+B36</f>
        <v>40379</v>
      </c>
    </row>
    <row r="40" spans="1:21" ht="15.75" customHeight="1">
      <c r="A40" s="226"/>
      <c r="B40" s="229"/>
      <c r="C40" s="235"/>
      <c r="D40" s="203">
        <v>3</v>
      </c>
      <c r="E40" s="218">
        <v>0.5902777777777778</v>
      </c>
      <c r="F40" s="80" t="s">
        <v>239</v>
      </c>
      <c r="G40" s="208" t="str">
        <f>VLOOKUP(F40,'参加チーム'!$B$5:$F$73,IF($M$2=1,3,4),FALSE)</f>
        <v>BANFF</v>
      </c>
      <c r="H40" s="203">
        <f>IF(I40&lt;&gt;"",I40+I41,"")</f>
      </c>
      <c r="I40" s="79"/>
      <c r="J40" s="204" t="s">
        <v>80</v>
      </c>
      <c r="K40" s="79"/>
      <c r="L40" s="203">
        <f>IF(K40&lt;&gt;"",K40+K41,"")</f>
      </c>
      <c r="M40" s="80" t="s">
        <v>236</v>
      </c>
      <c r="N40" s="208" t="str">
        <f>VLOOKUP(M40,'参加チーム'!$B$5:$F$73,IF($M$2=1,3,4),FALSE)</f>
        <v>かちかち山</v>
      </c>
      <c r="O40" s="198" t="str">
        <f>+N40</f>
        <v>かちかち山</v>
      </c>
      <c r="P40" s="223"/>
      <c r="R40" s="99" t="str">
        <f>+"前"&amp;F40&amp;M40</f>
        <v>前ＡＣ</v>
      </c>
      <c r="S40" s="90">
        <f>+H40</f>
      </c>
      <c r="T40" s="90">
        <f>+L40</f>
      </c>
      <c r="U40" s="100">
        <f>+B36</f>
        <v>40379</v>
      </c>
    </row>
    <row r="41" spans="1:21" ht="15.75" customHeight="1">
      <c r="A41" s="226"/>
      <c r="B41" s="229"/>
      <c r="C41" s="235"/>
      <c r="D41" s="202"/>
      <c r="E41" s="199"/>
      <c r="F41" s="78" t="str">
        <f>LEFT(VLOOKUP(F40,'参加チーム'!$B$5:$F$73,5,FALSE),2)</f>
        <v>宮城</v>
      </c>
      <c r="G41" s="209"/>
      <c r="H41" s="202"/>
      <c r="I41" s="79"/>
      <c r="J41" s="205"/>
      <c r="K41" s="79"/>
      <c r="L41" s="202"/>
      <c r="M41" s="78" t="str">
        <f>LEFT(VLOOKUP(M40,'参加チーム'!$B$5:$F$73,5,FALSE),2)</f>
        <v>福島</v>
      </c>
      <c r="N41" s="209"/>
      <c r="O41" s="199"/>
      <c r="P41" s="223"/>
      <c r="R41" s="99" t="str">
        <f>+"前"&amp;M40&amp;F40</f>
        <v>前ＣＡ</v>
      </c>
      <c r="S41" s="90">
        <f>+L40</f>
      </c>
      <c r="T41" s="90">
        <f>+H40</f>
      </c>
      <c r="U41" s="100">
        <f>+B36</f>
        <v>40379</v>
      </c>
    </row>
    <row r="42" spans="1:21" ht="15.75" customHeight="1">
      <c r="A42" s="226"/>
      <c r="B42" s="229"/>
      <c r="C42" s="235"/>
      <c r="D42" s="219">
        <v>4</v>
      </c>
      <c r="E42" s="218">
        <v>0.6666666666666666</v>
      </c>
      <c r="F42" s="80" t="s">
        <v>234</v>
      </c>
      <c r="G42" s="206" t="str">
        <f>VLOOKUP(F42,'参加チーム'!$B$5:$F$73,IF($M$2=1,3,4),FALSE)</f>
        <v>ｳﾞｫｽｸｵｰﾚ</v>
      </c>
      <c r="H42" s="203">
        <f>IF(I42&lt;&gt;"",I42+I43,"")</f>
      </c>
      <c r="I42" s="79"/>
      <c r="J42" s="204" t="s">
        <v>80</v>
      </c>
      <c r="K42" s="79"/>
      <c r="L42" s="203">
        <f>IF(K42&lt;&gt;"",K42+K43,"")</f>
      </c>
      <c r="M42" s="80" t="s">
        <v>238</v>
      </c>
      <c r="N42" s="206" t="str">
        <f>VLOOKUP(M42,'参加チーム'!$B$5:$F$73,IF($M$2=1,3,4),FALSE)</f>
        <v>malva</v>
      </c>
      <c r="O42" s="198" t="str">
        <f>+N42</f>
        <v>malva</v>
      </c>
      <c r="P42" s="223"/>
      <c r="R42" s="99" t="str">
        <f>+"前"&amp;F42&amp;M42</f>
        <v>前ＢＤ</v>
      </c>
      <c r="S42" s="90">
        <f>+H42</f>
      </c>
      <c r="T42" s="90">
        <f>+L42</f>
      </c>
      <c r="U42" s="100">
        <f>+B36</f>
        <v>40379</v>
      </c>
    </row>
    <row r="43" spans="1:21" ht="15.75" customHeight="1" thickBot="1">
      <c r="A43" s="227"/>
      <c r="B43" s="230"/>
      <c r="C43" s="236"/>
      <c r="D43" s="221"/>
      <c r="E43" s="200"/>
      <c r="F43" s="78" t="str">
        <f>LEFT(VLOOKUP(F42,'参加チーム'!$B$5:$F$73,5,FALSE),2)</f>
        <v>宮城</v>
      </c>
      <c r="G43" s="207"/>
      <c r="H43" s="212"/>
      <c r="I43" s="82"/>
      <c r="J43" s="213"/>
      <c r="K43" s="82"/>
      <c r="L43" s="212"/>
      <c r="M43" s="78" t="str">
        <f>LEFT(VLOOKUP(M42,'参加チーム'!$B$5:$F$73,5,FALSE),2)</f>
        <v>山形</v>
      </c>
      <c r="N43" s="207"/>
      <c r="O43" s="200"/>
      <c r="P43" s="224"/>
      <c r="R43" s="102" t="str">
        <f>+"前"&amp;M42&amp;F42</f>
        <v>前ＤＢ</v>
      </c>
      <c r="S43" s="103">
        <f>+L42</f>
      </c>
      <c r="T43" s="103">
        <f>+H42</f>
      </c>
      <c r="U43" s="104">
        <f>+B36</f>
        <v>40379</v>
      </c>
    </row>
    <row r="44" spans="1:21" ht="15.75" customHeight="1">
      <c r="A44" s="225">
        <v>6</v>
      </c>
      <c r="B44" s="228">
        <v>40392</v>
      </c>
      <c r="C44" s="231" t="s">
        <v>52</v>
      </c>
      <c r="D44" s="233">
        <v>1</v>
      </c>
      <c r="E44" s="237">
        <v>0.4375</v>
      </c>
      <c r="F44" s="76" t="s">
        <v>238</v>
      </c>
      <c r="G44" s="210" t="str">
        <f>VLOOKUP(F44,'参加チーム'!$B$5:$F$73,IF($M$2=1,3,4),FALSE)</f>
        <v>malva</v>
      </c>
      <c r="H44" s="201">
        <f>IF(I44&lt;&gt;"",I44+I45,"")</f>
      </c>
      <c r="I44" s="77"/>
      <c r="J44" s="215" t="s">
        <v>80</v>
      </c>
      <c r="K44" s="77"/>
      <c r="L44" s="201">
        <f>IF(K44&lt;&gt;"",K44+K45,"")</f>
      </c>
      <c r="M44" s="76" t="s">
        <v>239</v>
      </c>
      <c r="N44" s="210" t="str">
        <f>VLOOKUP(M44,'参加チーム'!$B$5:$F$73,IF($M$2=1,3,4),FALSE)</f>
        <v>BANFF</v>
      </c>
      <c r="O44" s="211" t="str">
        <f>+N44</f>
        <v>BANFF</v>
      </c>
      <c r="P44" s="222" t="str">
        <f>+G44</f>
        <v>malva</v>
      </c>
      <c r="R44" s="96" t="str">
        <f>+"前"&amp;F44&amp;M44</f>
        <v>前ＤＡ</v>
      </c>
      <c r="S44" s="97">
        <f>IF(H44&lt;&gt;"",H44,"")</f>
      </c>
      <c r="T44" s="97">
        <f>IF(L44&lt;&gt;"",L44,"")</f>
      </c>
      <c r="U44" s="98">
        <f>+B44</f>
        <v>40392</v>
      </c>
    </row>
    <row r="45" spans="1:21" ht="15.75" customHeight="1">
      <c r="A45" s="226"/>
      <c r="B45" s="229"/>
      <c r="C45" s="232"/>
      <c r="D45" s="220"/>
      <c r="E45" s="199"/>
      <c r="F45" s="78" t="str">
        <f>LEFT(VLOOKUP(F44,'参加チーム'!$B$5:$F$73,5,FALSE),2)</f>
        <v>山形</v>
      </c>
      <c r="G45" s="209"/>
      <c r="H45" s="202"/>
      <c r="I45" s="79"/>
      <c r="J45" s="205"/>
      <c r="K45" s="79"/>
      <c r="L45" s="202"/>
      <c r="M45" s="78" t="str">
        <f>LEFT(VLOOKUP(M44,'参加チーム'!$B$5:$F$73,5,FALSE),2)</f>
        <v>宮城</v>
      </c>
      <c r="N45" s="209"/>
      <c r="O45" s="199"/>
      <c r="P45" s="223"/>
      <c r="R45" s="99" t="str">
        <f>+"前"&amp;M44&amp;F44</f>
        <v>前ＡＤ</v>
      </c>
      <c r="S45" s="90">
        <f>IF(L44&lt;&gt;"",L44,"")</f>
      </c>
      <c r="T45" s="90">
        <f>IF(H44&lt;&gt;"",H44,"")</f>
      </c>
      <c r="U45" s="100">
        <f>+B44</f>
        <v>40392</v>
      </c>
    </row>
    <row r="46" spans="1:21" ht="15.75" customHeight="1">
      <c r="A46" s="226"/>
      <c r="B46" s="229"/>
      <c r="C46" s="232"/>
      <c r="D46" s="219">
        <v>2</v>
      </c>
      <c r="E46" s="218">
        <v>0.513888888888889</v>
      </c>
      <c r="F46" s="80" t="s">
        <v>236</v>
      </c>
      <c r="G46" s="208" t="str">
        <f>VLOOKUP(F46,'参加チーム'!$B$5:$F$73,IF($M$2=1,3,4),FALSE)</f>
        <v>かちかち山</v>
      </c>
      <c r="H46" s="203">
        <f>IF(I46&lt;&gt;"",I46+I47,"")</f>
      </c>
      <c r="I46" s="79"/>
      <c r="J46" s="204" t="s">
        <v>80</v>
      </c>
      <c r="K46" s="79"/>
      <c r="L46" s="203">
        <f>IF(K46&lt;&gt;"",K46+K47,"")</f>
      </c>
      <c r="M46" s="80" t="s">
        <v>234</v>
      </c>
      <c r="N46" s="208" t="str">
        <f>VLOOKUP(M46,'参加チーム'!$B$5:$F$73,IF($M$2=1,3,4),FALSE)</f>
        <v>ｳﾞｫｽｸｵｰﾚ</v>
      </c>
      <c r="O46" s="198" t="str">
        <f>+N46</f>
        <v>ｳﾞｫｽｸｵｰﾚ</v>
      </c>
      <c r="P46" s="223"/>
      <c r="R46" s="99" t="str">
        <f>+"前"&amp;F46&amp;M46</f>
        <v>前ＣＢ</v>
      </c>
      <c r="S46" s="90">
        <f>+H46</f>
      </c>
      <c r="T46" s="90">
        <f>+L46</f>
      </c>
      <c r="U46" s="100">
        <f>+B44</f>
        <v>40392</v>
      </c>
    </row>
    <row r="47" spans="1:21" ht="15.75" customHeight="1">
      <c r="A47" s="226"/>
      <c r="B47" s="229"/>
      <c r="C47" s="234" t="s">
        <v>220</v>
      </c>
      <c r="D47" s="220"/>
      <c r="E47" s="199"/>
      <c r="F47" s="78" t="str">
        <f>LEFT(VLOOKUP(F46,'参加チーム'!$B$5:$F$73,5,FALSE),2)</f>
        <v>福島</v>
      </c>
      <c r="G47" s="209"/>
      <c r="H47" s="202"/>
      <c r="I47" s="79"/>
      <c r="J47" s="205"/>
      <c r="K47" s="79"/>
      <c r="L47" s="202"/>
      <c r="M47" s="78" t="str">
        <f>LEFT(VLOOKUP(M46,'参加チーム'!$B$5:$F$73,5,FALSE),2)</f>
        <v>宮城</v>
      </c>
      <c r="N47" s="209"/>
      <c r="O47" s="199"/>
      <c r="P47" s="223"/>
      <c r="R47" s="99" t="str">
        <f>+"前"&amp;M46&amp;F46</f>
        <v>前ＢＣ</v>
      </c>
      <c r="S47" s="90">
        <f>+L46</f>
      </c>
      <c r="T47" s="90">
        <f>+H46</f>
      </c>
      <c r="U47" s="100">
        <f>+B44</f>
        <v>40392</v>
      </c>
    </row>
    <row r="48" spans="1:21" ht="15.75" customHeight="1">
      <c r="A48" s="226"/>
      <c r="B48" s="229"/>
      <c r="C48" s="235"/>
      <c r="D48" s="203">
        <v>3</v>
      </c>
      <c r="E48" s="218">
        <v>0.5902777777777778</v>
      </c>
      <c r="F48" s="80" t="s">
        <v>233</v>
      </c>
      <c r="G48" s="208" t="str">
        <f>VLOOKUP(F48,'参加チーム'!$B$5:$F$73,IF($M$2=1,3,4),FALSE)</f>
        <v>CROSS</v>
      </c>
      <c r="H48" s="203">
        <f>IF(I48&lt;&gt;"",I48+I49,"")</f>
      </c>
      <c r="I48" s="79"/>
      <c r="J48" s="204" t="s">
        <v>80</v>
      </c>
      <c r="K48" s="79"/>
      <c r="L48" s="203">
        <f>IF(K48&lt;&gt;"",K48+K49,"")</f>
      </c>
      <c r="M48" s="80" t="s">
        <v>237</v>
      </c>
      <c r="N48" s="208" t="str">
        <f>VLOOKUP(M48,'参加チーム'!$B$5:$F$73,IF($M$2=1,3,4),FALSE)</f>
        <v>volviendo</v>
      </c>
      <c r="O48" s="198" t="str">
        <f>+N48</f>
        <v>volviendo</v>
      </c>
      <c r="P48" s="223"/>
      <c r="R48" s="99" t="str">
        <f>+"前"&amp;F48&amp;M48</f>
        <v>前HＦ</v>
      </c>
      <c r="S48" s="90">
        <f>+H48</f>
      </c>
      <c r="T48" s="90">
        <f>+L48</f>
      </c>
      <c r="U48" s="100">
        <f>+B44</f>
        <v>40392</v>
      </c>
    </row>
    <row r="49" spans="1:21" ht="15.75" customHeight="1">
      <c r="A49" s="226"/>
      <c r="B49" s="229"/>
      <c r="C49" s="235"/>
      <c r="D49" s="202"/>
      <c r="E49" s="199"/>
      <c r="F49" s="78" t="str">
        <f>LEFT(VLOOKUP(F48,'参加チーム'!$B$5:$F$73,5,FALSE),2)</f>
        <v>岩手</v>
      </c>
      <c r="G49" s="209"/>
      <c r="H49" s="202"/>
      <c r="I49" s="79"/>
      <c r="J49" s="205"/>
      <c r="K49" s="79"/>
      <c r="L49" s="202"/>
      <c r="M49" s="78" t="str">
        <f>LEFT(VLOOKUP(M48,'参加チーム'!$B$5:$F$73,5,FALSE),2)</f>
        <v>福島</v>
      </c>
      <c r="N49" s="209"/>
      <c r="O49" s="199"/>
      <c r="P49" s="223"/>
      <c r="R49" s="99" t="str">
        <f>+"前"&amp;M48&amp;F48</f>
        <v>前ＦH</v>
      </c>
      <c r="S49" s="90">
        <f>+L48</f>
      </c>
      <c r="T49" s="90">
        <f>+H48</f>
      </c>
      <c r="U49" s="100">
        <f>+B44</f>
        <v>40392</v>
      </c>
    </row>
    <row r="50" spans="1:21" ht="15.75" customHeight="1">
      <c r="A50" s="226"/>
      <c r="B50" s="229"/>
      <c r="C50" s="235"/>
      <c r="D50" s="219">
        <v>4</v>
      </c>
      <c r="E50" s="218">
        <v>0.6666666666666666</v>
      </c>
      <c r="F50" s="80" t="s">
        <v>235</v>
      </c>
      <c r="G50" s="206" t="str">
        <f>VLOOKUP(F50,'参加チーム'!$B$5:$F$73,IF($M$2=1,3,4),FALSE)</f>
        <v>Sabedoria</v>
      </c>
      <c r="H50" s="203">
        <f>IF(I50&lt;&gt;"",I50+I51,"")</f>
      </c>
      <c r="I50" s="79"/>
      <c r="J50" s="204" t="s">
        <v>80</v>
      </c>
      <c r="K50" s="79"/>
      <c r="L50" s="203">
        <f>IF(K50&lt;&gt;"",K50+K51,"")</f>
      </c>
      <c r="M50" s="80" t="s">
        <v>240</v>
      </c>
      <c r="N50" s="206" t="str">
        <f>VLOOKUP(M50,'参加チーム'!$B$5:$F$73,IF($M$2=1,3,4),FALSE)</f>
        <v>東北大学</v>
      </c>
      <c r="O50" s="198" t="str">
        <f>+N50</f>
        <v>東北大学</v>
      </c>
      <c r="P50" s="223"/>
      <c r="R50" s="99" t="str">
        <f>+"前"&amp;F50&amp;M50</f>
        <v>前ＥG</v>
      </c>
      <c r="S50" s="90">
        <f>+H50</f>
      </c>
      <c r="T50" s="90">
        <f>+L50</f>
      </c>
      <c r="U50" s="100">
        <f>+B44</f>
        <v>40392</v>
      </c>
    </row>
    <row r="51" spans="1:21" ht="15.75" customHeight="1" thickBot="1">
      <c r="A51" s="227"/>
      <c r="B51" s="230"/>
      <c r="C51" s="236"/>
      <c r="D51" s="221"/>
      <c r="E51" s="200"/>
      <c r="F51" s="78" t="str">
        <f>LEFT(VLOOKUP(F50,'参加チーム'!$B$5:$F$73,5,FALSE),2)</f>
        <v>岩手</v>
      </c>
      <c r="G51" s="207"/>
      <c r="H51" s="212"/>
      <c r="I51" s="82"/>
      <c r="J51" s="213"/>
      <c r="K51" s="82"/>
      <c r="L51" s="212"/>
      <c r="M51" s="78" t="str">
        <f>LEFT(VLOOKUP(M50,'参加チーム'!$B$5:$F$73,5,FALSE),2)</f>
        <v>宮城</v>
      </c>
      <c r="N51" s="207"/>
      <c r="O51" s="200"/>
      <c r="P51" s="224"/>
      <c r="R51" s="102" t="str">
        <f>+"前"&amp;M50&amp;F50</f>
        <v>前GＥ</v>
      </c>
      <c r="S51" s="103">
        <f>+L50</f>
      </c>
      <c r="T51" s="103">
        <f>+H50</f>
      </c>
      <c r="U51" s="104">
        <f>+B44</f>
        <v>40392</v>
      </c>
    </row>
    <row r="52" spans="1:21" ht="15.75" customHeight="1">
      <c r="A52" s="225">
        <v>7</v>
      </c>
      <c r="B52" s="228">
        <v>40399</v>
      </c>
      <c r="C52" s="231" t="s">
        <v>101</v>
      </c>
      <c r="D52" s="233">
        <v>1</v>
      </c>
      <c r="E52" s="237">
        <v>0.4375</v>
      </c>
      <c r="F52" s="76" t="s">
        <v>237</v>
      </c>
      <c r="G52" s="210" t="str">
        <f>VLOOKUP(F52,'参加チーム'!$B$5:$F$73,IF($M$2=1,3,4),FALSE)</f>
        <v>volviendo</v>
      </c>
      <c r="H52" s="201">
        <f>IF(I52&lt;&gt;"",I52+I53,"")</f>
      </c>
      <c r="I52" s="77"/>
      <c r="J52" s="215" t="s">
        <v>80</v>
      </c>
      <c r="K52" s="77"/>
      <c r="L52" s="201">
        <f>IF(K52&lt;&gt;"",K52+K53,"")</f>
      </c>
      <c r="M52" s="76" t="s">
        <v>235</v>
      </c>
      <c r="N52" s="210" t="str">
        <f>VLOOKUP(M52,'参加チーム'!$B$5:$F$73,IF($M$2=1,3,4),FALSE)</f>
        <v>Sabedoria</v>
      </c>
      <c r="O52" s="211" t="str">
        <f>+N52</f>
        <v>Sabedoria</v>
      </c>
      <c r="P52" s="222" t="str">
        <f>+G52</f>
        <v>volviendo</v>
      </c>
      <c r="R52" s="96" t="str">
        <f>+"前"&amp;F52&amp;M52</f>
        <v>前ＦＥ</v>
      </c>
      <c r="S52" s="97">
        <f>IF(H52&lt;&gt;"",H52,"")</f>
      </c>
      <c r="T52" s="97">
        <f>IF(L52&lt;&gt;"",L52,"")</f>
      </c>
      <c r="U52" s="98">
        <f>+B52</f>
        <v>40399</v>
      </c>
    </row>
    <row r="53" spans="1:21" ht="15.75" customHeight="1">
      <c r="A53" s="226"/>
      <c r="B53" s="229"/>
      <c r="C53" s="232"/>
      <c r="D53" s="220"/>
      <c r="E53" s="199"/>
      <c r="F53" s="78" t="str">
        <f>LEFT(VLOOKUP(F52,'参加チーム'!$B$5:$F$73,5,FALSE),2)</f>
        <v>福島</v>
      </c>
      <c r="G53" s="209"/>
      <c r="H53" s="202"/>
      <c r="I53" s="79"/>
      <c r="J53" s="205"/>
      <c r="K53" s="79"/>
      <c r="L53" s="202"/>
      <c r="M53" s="78" t="str">
        <f>LEFT(VLOOKUP(M52,'参加チーム'!$B$5:$F$73,5,FALSE),2)</f>
        <v>岩手</v>
      </c>
      <c r="N53" s="209"/>
      <c r="O53" s="199"/>
      <c r="P53" s="223"/>
      <c r="R53" s="99" t="str">
        <f>+"前"&amp;M52&amp;F52</f>
        <v>前ＥＦ</v>
      </c>
      <c r="S53" s="90">
        <f>IF(L52&lt;&gt;"",L52,"")</f>
      </c>
      <c r="T53" s="90">
        <f>IF(H52&lt;&gt;"",H52,"")</f>
      </c>
      <c r="U53" s="100">
        <f>+B52</f>
        <v>40399</v>
      </c>
    </row>
    <row r="54" spans="1:21" ht="15.75" customHeight="1">
      <c r="A54" s="226"/>
      <c r="B54" s="229"/>
      <c r="C54" s="232"/>
      <c r="D54" s="219">
        <v>2</v>
      </c>
      <c r="E54" s="218">
        <v>0.513888888888889</v>
      </c>
      <c r="F54" s="80" t="s">
        <v>238</v>
      </c>
      <c r="G54" s="208" t="str">
        <f>VLOOKUP(F54,'参加チーム'!$B$5:$F$73,IF($M$2=1,3,4),FALSE)</f>
        <v>malva</v>
      </c>
      <c r="H54" s="203">
        <f>IF(I54&lt;&gt;"",I54+I55,"")</f>
      </c>
      <c r="I54" s="79"/>
      <c r="J54" s="204" t="s">
        <v>80</v>
      </c>
      <c r="K54" s="79"/>
      <c r="L54" s="203">
        <f>IF(K54&lt;&gt;"",K54+K55,"")</f>
      </c>
      <c r="M54" s="80" t="s">
        <v>233</v>
      </c>
      <c r="N54" s="208" t="str">
        <f>VLOOKUP(M54,'参加チーム'!$B$5:$F$73,IF($M$2=1,3,4),FALSE)</f>
        <v>CROSS</v>
      </c>
      <c r="O54" s="198" t="str">
        <f>+N54</f>
        <v>CROSS</v>
      </c>
      <c r="P54" s="223"/>
      <c r="R54" s="99" t="str">
        <f>+"前"&amp;F54&amp;M54</f>
        <v>前ＤH</v>
      </c>
      <c r="S54" s="90">
        <f>+H54</f>
      </c>
      <c r="T54" s="90">
        <f>+L54</f>
      </c>
      <c r="U54" s="100">
        <f>+B52</f>
        <v>40399</v>
      </c>
    </row>
    <row r="55" spans="1:21" ht="15.75" customHeight="1">
      <c r="A55" s="226"/>
      <c r="B55" s="229"/>
      <c r="C55" s="234" t="s">
        <v>219</v>
      </c>
      <c r="D55" s="220"/>
      <c r="E55" s="199"/>
      <c r="F55" s="78" t="str">
        <f>LEFT(VLOOKUP(F54,'参加チーム'!$B$5:$F$73,5,FALSE),2)</f>
        <v>山形</v>
      </c>
      <c r="G55" s="209"/>
      <c r="H55" s="202"/>
      <c r="I55" s="79"/>
      <c r="J55" s="205"/>
      <c r="K55" s="79"/>
      <c r="L55" s="202"/>
      <c r="M55" s="78" t="str">
        <f>LEFT(VLOOKUP(M54,'参加チーム'!$B$5:$F$73,5,FALSE),2)</f>
        <v>岩手</v>
      </c>
      <c r="N55" s="209"/>
      <c r="O55" s="199"/>
      <c r="P55" s="223"/>
      <c r="R55" s="99" t="str">
        <f>+"前"&amp;M54&amp;F54</f>
        <v>前HＤ</v>
      </c>
      <c r="S55" s="90">
        <f>+L54</f>
      </c>
      <c r="T55" s="90">
        <f>+H54</f>
      </c>
      <c r="U55" s="100">
        <f>+B52</f>
        <v>40399</v>
      </c>
    </row>
    <row r="56" spans="1:21" ht="15.75" customHeight="1">
      <c r="A56" s="226"/>
      <c r="B56" s="229"/>
      <c r="C56" s="235"/>
      <c r="D56" s="203">
        <v>3</v>
      </c>
      <c r="E56" s="218">
        <v>0.5902777777777778</v>
      </c>
      <c r="F56" s="80" t="s">
        <v>240</v>
      </c>
      <c r="G56" s="208" t="str">
        <f>VLOOKUP(F56,'参加チーム'!$B$5:$F$73,IF($M$2=1,3,4),FALSE)</f>
        <v>東北大学</v>
      </c>
      <c r="H56" s="203">
        <f>IF(I56&lt;&gt;"",I56+I57,"")</f>
      </c>
      <c r="I56" s="79"/>
      <c r="J56" s="204" t="s">
        <v>80</v>
      </c>
      <c r="K56" s="79"/>
      <c r="L56" s="203">
        <f>IF(K56&lt;&gt;"",K56+K57,"")</f>
      </c>
      <c r="M56" s="80" t="s">
        <v>236</v>
      </c>
      <c r="N56" s="208" t="str">
        <f>VLOOKUP(M56,'参加チーム'!$B$5:$F$73,IF($M$2=1,3,4),FALSE)</f>
        <v>かちかち山</v>
      </c>
      <c r="O56" s="198" t="str">
        <f>+N56</f>
        <v>かちかち山</v>
      </c>
      <c r="P56" s="223"/>
      <c r="R56" s="99" t="str">
        <f>+"前"&amp;F56&amp;M56</f>
        <v>前GＣ</v>
      </c>
      <c r="S56" s="90">
        <f>+H56</f>
      </c>
      <c r="T56" s="90">
        <f>+L56</f>
      </c>
      <c r="U56" s="100">
        <f>+B52</f>
        <v>40399</v>
      </c>
    </row>
    <row r="57" spans="1:21" ht="15.75" customHeight="1">
      <c r="A57" s="226"/>
      <c r="B57" s="229"/>
      <c r="C57" s="235"/>
      <c r="D57" s="202"/>
      <c r="E57" s="199"/>
      <c r="F57" s="78" t="str">
        <f>LEFT(VLOOKUP(F56,'参加チーム'!$B$5:$F$73,5,FALSE),2)</f>
        <v>宮城</v>
      </c>
      <c r="G57" s="209"/>
      <c r="H57" s="202"/>
      <c r="I57" s="79"/>
      <c r="J57" s="205"/>
      <c r="K57" s="79"/>
      <c r="L57" s="202"/>
      <c r="M57" s="78" t="str">
        <f>LEFT(VLOOKUP(M56,'参加チーム'!$B$5:$F$73,5,FALSE),2)</f>
        <v>福島</v>
      </c>
      <c r="N57" s="209"/>
      <c r="O57" s="199"/>
      <c r="P57" s="223"/>
      <c r="R57" s="99" t="str">
        <f>+"前"&amp;M56&amp;F56</f>
        <v>前ＣG</v>
      </c>
      <c r="S57" s="90">
        <f>+L56</f>
      </c>
      <c r="T57" s="90">
        <f>+H56</f>
      </c>
      <c r="U57" s="100">
        <f>+B52</f>
        <v>40399</v>
      </c>
    </row>
    <row r="58" spans="1:21" ht="15.75" customHeight="1">
      <c r="A58" s="226"/>
      <c r="B58" s="229"/>
      <c r="C58" s="235"/>
      <c r="D58" s="219">
        <v>4</v>
      </c>
      <c r="E58" s="218">
        <v>0.6666666666666666</v>
      </c>
      <c r="F58" s="80" t="s">
        <v>147</v>
      </c>
      <c r="G58" s="206" t="str">
        <f>VLOOKUP(F58,'参加チーム'!$B$5:$F$73,IF($M$2=1,3,4),FALSE)</f>
        <v>BANFF</v>
      </c>
      <c r="H58" s="203">
        <f>IF(I58&lt;&gt;"",I58+I59,"")</f>
      </c>
      <c r="I58" s="79"/>
      <c r="J58" s="204" t="s">
        <v>80</v>
      </c>
      <c r="K58" s="79"/>
      <c r="L58" s="203">
        <f>IF(K58&lt;&gt;"",K58+K59,"")</f>
      </c>
      <c r="M58" s="80" t="s">
        <v>151</v>
      </c>
      <c r="N58" s="206" t="str">
        <f>VLOOKUP(M58,'参加チーム'!$B$5:$F$73,IF($M$2=1,3,4),FALSE)</f>
        <v>ｳﾞｫｽｸｵｰﾚ</v>
      </c>
      <c r="O58" s="198" t="str">
        <f>+N58</f>
        <v>ｳﾞｫｽｸｵｰﾚ</v>
      </c>
      <c r="P58" s="223"/>
      <c r="R58" s="99" t="str">
        <f>+"前"&amp;F58&amp;M58</f>
        <v>前ＡＢ</v>
      </c>
      <c r="S58" s="90">
        <f>+H58</f>
      </c>
      <c r="T58" s="90">
        <f>+L58</f>
      </c>
      <c r="U58" s="100">
        <f>+B52</f>
        <v>40399</v>
      </c>
    </row>
    <row r="59" spans="1:21" ht="15.75" customHeight="1" thickBot="1">
      <c r="A59" s="227"/>
      <c r="B59" s="230"/>
      <c r="C59" s="236"/>
      <c r="D59" s="221"/>
      <c r="E59" s="200"/>
      <c r="F59" s="81" t="str">
        <f>LEFT(VLOOKUP(F58,'参加チーム'!$B$5:$F$73,5,FALSE),2)</f>
        <v>宮城</v>
      </c>
      <c r="G59" s="207"/>
      <c r="H59" s="212"/>
      <c r="I59" s="82"/>
      <c r="J59" s="213"/>
      <c r="K59" s="82"/>
      <c r="L59" s="212"/>
      <c r="M59" s="81" t="str">
        <f>LEFT(VLOOKUP(M58,'参加チーム'!$B$5:$F$73,5,FALSE),2)</f>
        <v>宮城</v>
      </c>
      <c r="N59" s="207"/>
      <c r="O59" s="200"/>
      <c r="P59" s="224"/>
      <c r="R59" s="102" t="str">
        <f>+"前"&amp;M58&amp;F58</f>
        <v>前ＢＡ</v>
      </c>
      <c r="S59" s="103">
        <f>+L58</f>
      </c>
      <c r="T59" s="103">
        <f>+H58</f>
      </c>
      <c r="U59" s="104">
        <f>+B52</f>
        <v>40399</v>
      </c>
    </row>
    <row r="61" spans="1:19" ht="28.5" customHeight="1" thickBot="1">
      <c r="A61" s="261" t="s">
        <v>94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R61" s="89"/>
      <c r="S61" s="90"/>
    </row>
    <row r="62" spans="1:19" ht="28.5" customHeight="1" thickBot="1">
      <c r="A62" s="263"/>
      <c r="B62" s="264" t="s">
        <v>45</v>
      </c>
      <c r="C62" s="265" t="s">
        <v>46</v>
      </c>
      <c r="D62" s="264" t="s">
        <v>83</v>
      </c>
      <c r="E62" s="264" t="s">
        <v>47</v>
      </c>
      <c r="F62" s="266"/>
      <c r="G62" s="267" t="s">
        <v>84</v>
      </c>
      <c r="H62" s="268" t="s">
        <v>48</v>
      </c>
      <c r="I62" s="268"/>
      <c r="J62" s="268"/>
      <c r="K62" s="268"/>
      <c r="L62" s="268"/>
      <c r="M62" s="266"/>
      <c r="N62" s="267" t="s">
        <v>85</v>
      </c>
      <c r="O62" s="264" t="s">
        <v>241</v>
      </c>
      <c r="P62" s="269" t="s">
        <v>44</v>
      </c>
      <c r="R62" s="90"/>
      <c r="S62" s="90"/>
    </row>
    <row r="63" spans="1:21" ht="15.75" customHeight="1">
      <c r="A63" s="270">
        <v>8</v>
      </c>
      <c r="B63" s="271">
        <v>40427</v>
      </c>
      <c r="C63" s="272" t="s">
        <v>50</v>
      </c>
      <c r="D63" s="273">
        <v>1</v>
      </c>
      <c r="E63" s="274">
        <v>0.4375</v>
      </c>
      <c r="F63" s="275"/>
      <c r="G63" s="276">
        <f>IF(F63&lt;&gt;"",VLOOKUP($F63,'参加チーム'!$B$5:$F$73,3,FALSE),"")</f>
      </c>
      <c r="H63" s="277">
        <f>IF(I63&lt;&gt;"",I63+I64,"")</f>
      </c>
      <c r="I63" s="278"/>
      <c r="J63" s="279" t="s">
        <v>80</v>
      </c>
      <c r="K63" s="278"/>
      <c r="L63" s="277">
        <f>IF(K63&lt;&gt;"",K63+K64,"")</f>
      </c>
      <c r="M63" s="275"/>
      <c r="N63" s="276">
        <f>IF(M63&lt;&gt;"",VLOOKUP(M63,'参加チーム'!$B$5:$F$73,3,FALSE),"")</f>
      </c>
      <c r="O63" s="280">
        <f>+N63</f>
      </c>
      <c r="P63" s="281">
        <f>+N69</f>
      </c>
      <c r="R63" s="96" t="str">
        <f>+"後"&amp;F63&amp;M63</f>
        <v>後</v>
      </c>
      <c r="S63" s="97">
        <f>IF(H63&lt;&gt;"",H63,"")</f>
      </c>
      <c r="T63" s="97">
        <f>IF(L63&lt;&gt;"",L63,"")</f>
      </c>
      <c r="U63" s="98">
        <f>+B63</f>
        <v>40427</v>
      </c>
    </row>
    <row r="64" spans="1:21" ht="15.75" customHeight="1">
      <c r="A64" s="282"/>
      <c r="B64" s="283"/>
      <c r="C64" s="284"/>
      <c r="D64" s="285"/>
      <c r="E64" s="286"/>
      <c r="F64" s="287">
        <f>IF(F63&lt;&gt;"",LEFT(VLOOKUP(F63,'参加チーム'!$B$5:$F$73,5,FALSE),2),"")</f>
      </c>
      <c r="G64" s="288"/>
      <c r="H64" s="286"/>
      <c r="I64" s="289"/>
      <c r="J64" s="290"/>
      <c r="K64" s="289"/>
      <c r="L64" s="286"/>
      <c r="M64" s="287">
        <f>IF(M63&lt;&gt;"",LEFT(VLOOKUP(M63,'参加チーム'!$B$5:$F$73,5,FALSE),2),"")</f>
      </c>
      <c r="N64" s="288"/>
      <c r="O64" s="291"/>
      <c r="P64" s="292"/>
      <c r="R64" s="99" t="str">
        <f>+"後"&amp;M63&amp;F63</f>
        <v>後</v>
      </c>
      <c r="S64" s="90">
        <f>IF(L63&lt;&gt;"",L63,"")</f>
      </c>
      <c r="T64" s="90">
        <f>IF(H63&lt;&gt;"",H63,"")</f>
      </c>
      <c r="U64" s="100">
        <f>+B63</f>
        <v>40427</v>
      </c>
    </row>
    <row r="65" spans="1:21" ht="15.75" customHeight="1">
      <c r="A65" s="282"/>
      <c r="B65" s="283"/>
      <c r="C65" s="284"/>
      <c r="D65" s="293">
        <v>2</v>
      </c>
      <c r="E65" s="294">
        <v>0.513888888888889</v>
      </c>
      <c r="F65" s="295"/>
      <c r="G65" s="296">
        <f>IF(F65&lt;&gt;"",VLOOKUP($F65,'参加チーム'!$B$5:$F$73,3,FALSE),"")</f>
      </c>
      <c r="H65" s="297">
        <f>IF(I65&lt;&gt;"",I65+I66,"")</f>
      </c>
      <c r="I65" s="289"/>
      <c r="J65" s="298" t="s">
        <v>152</v>
      </c>
      <c r="K65" s="289"/>
      <c r="L65" s="297">
        <f>IF(K65&lt;&gt;"",K65+K66,"")</f>
      </c>
      <c r="M65" s="295"/>
      <c r="N65" s="296">
        <f>IF(M65&lt;&gt;"",VLOOKUP(M65,'参加チーム'!$B$5:$F$73,3,FALSE),"")</f>
      </c>
      <c r="O65" s="299">
        <f>+N65</f>
      </c>
      <c r="P65" s="292"/>
      <c r="R65" s="99" t="str">
        <f>+"後"&amp;F65&amp;M65</f>
        <v>後</v>
      </c>
      <c r="S65" s="90">
        <f>+H65</f>
      </c>
      <c r="T65" s="90">
        <f>+L65</f>
      </c>
      <c r="U65" s="100">
        <f>+B63</f>
        <v>40427</v>
      </c>
    </row>
    <row r="66" spans="1:21" ht="15.75" customHeight="1">
      <c r="A66" s="282"/>
      <c r="B66" s="283"/>
      <c r="C66" s="300" t="s">
        <v>35</v>
      </c>
      <c r="D66" s="285"/>
      <c r="E66" s="286"/>
      <c r="F66" s="287">
        <f>IF(F65&lt;&gt;"",LEFT(VLOOKUP(F65,'参加チーム'!$B$5:$F$73,5,FALSE),2),"")</f>
      </c>
      <c r="G66" s="288"/>
      <c r="H66" s="286"/>
      <c r="I66" s="289"/>
      <c r="J66" s="290"/>
      <c r="K66" s="289"/>
      <c r="L66" s="286"/>
      <c r="M66" s="287">
        <f>IF(M65&lt;&gt;"",LEFT(VLOOKUP(M65,'参加チーム'!$B$5:$F$73,5,FALSE),2),"")</f>
      </c>
      <c r="N66" s="288"/>
      <c r="O66" s="291"/>
      <c r="P66" s="292"/>
      <c r="R66" s="99" t="str">
        <f>+"後"&amp;M65&amp;F65</f>
        <v>後</v>
      </c>
      <c r="S66" s="90">
        <f>+L65</f>
      </c>
      <c r="T66" s="90">
        <f>+H65</f>
      </c>
      <c r="U66" s="100">
        <f>+B63</f>
        <v>40427</v>
      </c>
    </row>
    <row r="67" spans="1:21" ht="15.75" customHeight="1">
      <c r="A67" s="282"/>
      <c r="B67" s="283"/>
      <c r="C67" s="301"/>
      <c r="D67" s="297">
        <v>3</v>
      </c>
      <c r="E67" s="294">
        <v>0.5902777777777778</v>
      </c>
      <c r="F67" s="295"/>
      <c r="G67" s="296">
        <f>IF(F67&lt;&gt;"",VLOOKUP($F67,'参加チーム'!$B$5:$F$73,3,FALSE),"")</f>
      </c>
      <c r="H67" s="297">
        <f>IF(I67&lt;&gt;"",I67+I68,"")</f>
      </c>
      <c r="I67" s="289"/>
      <c r="J67" s="298" t="s">
        <v>152</v>
      </c>
      <c r="K67" s="289"/>
      <c r="L67" s="297">
        <f>IF(K67&lt;&gt;"",K67+K68,"")</f>
      </c>
      <c r="M67" s="295"/>
      <c r="N67" s="296">
        <f>IF(M67&lt;&gt;"",VLOOKUP(M67,'参加チーム'!$B$5:$F$73,3,FALSE),"")</f>
      </c>
      <c r="O67" s="299">
        <f>+N67</f>
      </c>
      <c r="P67" s="292"/>
      <c r="R67" s="99" t="str">
        <f>+"後"&amp;F67&amp;M67</f>
        <v>後</v>
      </c>
      <c r="S67" s="90">
        <f>+H67</f>
      </c>
      <c r="T67" s="90">
        <f>+L67</f>
      </c>
      <c r="U67" s="100">
        <f>+B63</f>
        <v>40427</v>
      </c>
    </row>
    <row r="68" spans="1:21" ht="15.75" customHeight="1">
      <c r="A68" s="282"/>
      <c r="B68" s="283"/>
      <c r="C68" s="301"/>
      <c r="D68" s="286"/>
      <c r="E68" s="286"/>
      <c r="F68" s="287">
        <f>IF(F67&lt;&gt;"",LEFT(VLOOKUP(F67,'参加チーム'!$B$5:$F$73,5,FALSE),2),"")</f>
      </c>
      <c r="G68" s="288"/>
      <c r="H68" s="286"/>
      <c r="I68" s="289"/>
      <c r="J68" s="290"/>
      <c r="K68" s="289"/>
      <c r="L68" s="286"/>
      <c r="M68" s="287">
        <f>IF(M67&lt;&gt;"",LEFT(VLOOKUP(M67,'参加チーム'!$B$5:$F$73,5,FALSE),2),"")</f>
      </c>
      <c r="N68" s="288"/>
      <c r="O68" s="291"/>
      <c r="P68" s="292"/>
      <c r="R68" s="99" t="str">
        <f>+"後"&amp;M67&amp;F67</f>
        <v>後</v>
      </c>
      <c r="S68" s="90">
        <f>+L67</f>
      </c>
      <c r="T68" s="90">
        <f>+H67</f>
      </c>
      <c r="U68" s="100">
        <f>+B63</f>
        <v>40427</v>
      </c>
    </row>
    <row r="69" spans="1:21" ht="15.75" customHeight="1">
      <c r="A69" s="282"/>
      <c r="B69" s="283"/>
      <c r="C69" s="301"/>
      <c r="D69" s="293">
        <v>4</v>
      </c>
      <c r="E69" s="294">
        <v>0.6666666666666666</v>
      </c>
      <c r="F69" s="295"/>
      <c r="G69" s="302">
        <f>IF(F69&lt;&gt;"",VLOOKUP($F69,'参加チーム'!$B$5:$F$73,3,FALSE),"")</f>
      </c>
      <c r="H69" s="297">
        <f>IF(I69&lt;&gt;"",I69+I70,"")</f>
      </c>
      <c r="I69" s="289"/>
      <c r="J69" s="298" t="s">
        <v>152</v>
      </c>
      <c r="K69" s="289"/>
      <c r="L69" s="297">
        <f>IF(K69&lt;&gt;"",K69+K70,"")</f>
      </c>
      <c r="M69" s="295"/>
      <c r="N69" s="302">
        <f>IF(M69&lt;&gt;"",VLOOKUP(M69,'参加チーム'!$B$5:$F$73,3,FALSE),"")</f>
      </c>
      <c r="O69" s="299">
        <f>+N69</f>
      </c>
      <c r="P69" s="292"/>
      <c r="R69" s="99" t="str">
        <f>+"後"&amp;F69&amp;M69</f>
        <v>後</v>
      </c>
      <c r="S69" s="90">
        <f>+H69</f>
      </c>
      <c r="T69" s="90">
        <f>+L69</f>
      </c>
      <c r="U69" s="100">
        <f>+B63</f>
        <v>40427</v>
      </c>
    </row>
    <row r="70" spans="1:21" ht="15.75" customHeight="1" thickBot="1">
      <c r="A70" s="303"/>
      <c r="B70" s="304"/>
      <c r="C70" s="305"/>
      <c r="D70" s="306"/>
      <c r="E70" s="307"/>
      <c r="F70" s="308">
        <f>IF(F69&lt;&gt;"",LEFT(VLOOKUP(F69,'参加チーム'!$B$5:$F$73,5,FALSE),2),"")</f>
      </c>
      <c r="G70" s="309"/>
      <c r="H70" s="307"/>
      <c r="I70" s="310"/>
      <c r="J70" s="311"/>
      <c r="K70" s="310"/>
      <c r="L70" s="307"/>
      <c r="M70" s="308">
        <f>IF(M69&lt;&gt;"",LEFT(VLOOKUP(M69,'参加チーム'!$B$5:$F$73,5,FALSE),2),"")</f>
      </c>
      <c r="N70" s="309"/>
      <c r="O70" s="312"/>
      <c r="P70" s="313"/>
      <c r="R70" s="102" t="str">
        <f>+"後"&amp;M69&amp;F69</f>
        <v>後</v>
      </c>
      <c r="S70" s="103">
        <f>+L69</f>
      </c>
      <c r="T70" s="103">
        <f>+H69</f>
      </c>
      <c r="U70" s="104">
        <f>+B63</f>
        <v>40427</v>
      </c>
    </row>
    <row r="71" spans="1:21" ht="15.75" customHeight="1">
      <c r="A71" s="270">
        <v>9</v>
      </c>
      <c r="B71" s="271">
        <v>40441</v>
      </c>
      <c r="C71" s="272" t="s">
        <v>81</v>
      </c>
      <c r="D71" s="273">
        <v>1</v>
      </c>
      <c r="E71" s="274">
        <v>0.4375</v>
      </c>
      <c r="F71" s="275"/>
      <c r="G71" s="276">
        <f>IF(F71&lt;&gt;"",VLOOKUP($F71,'参加チーム'!$B$5:$F$73,3,FALSE),"")</f>
      </c>
      <c r="H71" s="277">
        <f>IF(I71&lt;&gt;"",I71+I72,"")</f>
      </c>
      <c r="I71" s="278"/>
      <c r="J71" s="279" t="s">
        <v>80</v>
      </c>
      <c r="K71" s="278"/>
      <c r="L71" s="277">
        <f>IF(K71&lt;&gt;"",K71+K72,"")</f>
      </c>
      <c r="M71" s="275"/>
      <c r="N71" s="276">
        <f>IF(M71&lt;&gt;"",VLOOKUP(M71,'参加チーム'!$B$5:$F$73,3,FALSE),"")</f>
      </c>
      <c r="O71" s="280">
        <f>+N71</f>
      </c>
      <c r="P71" s="281">
        <f>+N75</f>
      </c>
      <c r="R71" s="96" t="str">
        <f>+"後"&amp;F71&amp;M71</f>
        <v>後</v>
      </c>
      <c r="S71" s="97">
        <f>IF(H71&lt;&gt;"",H71,"")</f>
      </c>
      <c r="T71" s="97">
        <f>IF(L71&lt;&gt;"",L71,"")</f>
      </c>
      <c r="U71" s="98">
        <f>+B71</f>
        <v>40441</v>
      </c>
    </row>
    <row r="72" spans="1:21" ht="15.75" customHeight="1">
      <c r="A72" s="282"/>
      <c r="B72" s="283"/>
      <c r="C72" s="284"/>
      <c r="D72" s="285"/>
      <c r="E72" s="286"/>
      <c r="F72" s="287">
        <f>IF(F71&lt;&gt;"",LEFT(VLOOKUP(F71,'参加チーム'!$B$5:$F$73,5,FALSE),2),"")</f>
      </c>
      <c r="G72" s="288"/>
      <c r="H72" s="286"/>
      <c r="I72" s="289"/>
      <c r="J72" s="290"/>
      <c r="K72" s="289"/>
      <c r="L72" s="286"/>
      <c r="M72" s="287">
        <f>IF(M71&lt;&gt;"",LEFT(VLOOKUP(M71,'参加チーム'!$B$5:$F$73,5,FALSE),2),"")</f>
      </c>
      <c r="N72" s="288"/>
      <c r="O72" s="291"/>
      <c r="P72" s="292"/>
      <c r="R72" s="99" t="str">
        <f>+"後"&amp;M71&amp;F71</f>
        <v>後</v>
      </c>
      <c r="S72" s="90">
        <f>IF(L71&lt;&gt;"",L71,"")</f>
      </c>
      <c r="T72" s="90">
        <f>IF(H71&lt;&gt;"",H71,"")</f>
      </c>
      <c r="U72" s="100">
        <f>+B71</f>
        <v>40441</v>
      </c>
    </row>
    <row r="73" spans="1:21" ht="15.75" customHeight="1">
      <c r="A73" s="282"/>
      <c r="B73" s="283"/>
      <c r="C73" s="284"/>
      <c r="D73" s="293">
        <v>2</v>
      </c>
      <c r="E73" s="294">
        <v>0.513888888888889</v>
      </c>
      <c r="F73" s="295"/>
      <c r="G73" s="296">
        <f>IF(F73&lt;&gt;"",VLOOKUP($F73,'参加チーム'!$B$5:$F$73,3,FALSE),"")</f>
      </c>
      <c r="H73" s="297">
        <f>IF(I73&lt;&gt;"",I73+I74,"")</f>
      </c>
      <c r="I73" s="289"/>
      <c r="J73" s="298" t="s">
        <v>152</v>
      </c>
      <c r="K73" s="289"/>
      <c r="L73" s="297">
        <f>IF(K73&lt;&gt;"",K73+K74,"")</f>
      </c>
      <c r="M73" s="295"/>
      <c r="N73" s="296">
        <f>IF(M73&lt;&gt;"",VLOOKUP(M73,'参加チーム'!$B$5:$F$73,3,FALSE),"")</f>
      </c>
      <c r="O73" s="299">
        <f>+N73</f>
      </c>
      <c r="P73" s="292"/>
      <c r="R73" s="99" t="str">
        <f>+"後"&amp;F73&amp;M73</f>
        <v>後</v>
      </c>
      <c r="S73" s="90">
        <f>+H73</f>
      </c>
      <c r="T73" s="90">
        <f>+L73</f>
      </c>
      <c r="U73" s="100">
        <f>+B71</f>
        <v>40441</v>
      </c>
    </row>
    <row r="74" spans="1:22" ht="15.75" customHeight="1">
      <c r="A74" s="282"/>
      <c r="B74" s="283"/>
      <c r="C74" s="300" t="s">
        <v>221</v>
      </c>
      <c r="D74" s="285"/>
      <c r="E74" s="286"/>
      <c r="F74" s="287">
        <f>IF(F73&lt;&gt;"",LEFT(VLOOKUP(F73,'参加チーム'!$B$5:$F$73,5,FALSE),2),"")</f>
      </c>
      <c r="G74" s="288"/>
      <c r="H74" s="286"/>
      <c r="I74" s="289"/>
      <c r="J74" s="290"/>
      <c r="K74" s="289"/>
      <c r="L74" s="286"/>
      <c r="M74" s="287">
        <f>IF(M73&lt;&gt;"",LEFT(VLOOKUP(M73,'参加チーム'!$B$5:$F$73,5,FALSE),2),"")</f>
      </c>
      <c r="N74" s="288"/>
      <c r="O74" s="291"/>
      <c r="P74" s="292"/>
      <c r="R74" s="99" t="str">
        <f>+"後"&amp;M73&amp;F73</f>
        <v>後</v>
      </c>
      <c r="S74" s="90">
        <f>+L73</f>
      </c>
      <c r="T74" s="90">
        <f>+H73</f>
      </c>
      <c r="U74" s="100">
        <f>+B71</f>
        <v>40441</v>
      </c>
      <c r="V74" s="105"/>
    </row>
    <row r="75" spans="1:22" ht="15.75" customHeight="1">
      <c r="A75" s="282"/>
      <c r="B75" s="283"/>
      <c r="C75" s="301"/>
      <c r="D75" s="297">
        <v>3</v>
      </c>
      <c r="E75" s="294">
        <v>0.5902777777777778</v>
      </c>
      <c r="F75" s="295"/>
      <c r="G75" s="296">
        <f>IF(F75&lt;&gt;"",VLOOKUP($F75,'参加チーム'!$B$5:$F$73,3,FALSE),"")</f>
      </c>
      <c r="H75" s="297">
        <f>IF(I75&lt;&gt;"",I75+I76,"")</f>
      </c>
      <c r="I75" s="289"/>
      <c r="J75" s="298" t="s">
        <v>152</v>
      </c>
      <c r="K75" s="289"/>
      <c r="L75" s="297">
        <f>IF(K75&lt;&gt;"",K75+K76,"")</f>
      </c>
      <c r="M75" s="295"/>
      <c r="N75" s="296">
        <f>IF(M75&lt;&gt;"",VLOOKUP(M75,'参加チーム'!$B$5:$F$73,3,FALSE),"")</f>
      </c>
      <c r="O75" s="299">
        <f>+N75</f>
      </c>
      <c r="P75" s="292"/>
      <c r="R75" s="99" t="str">
        <f>+"後"&amp;F75&amp;M75</f>
        <v>後</v>
      </c>
      <c r="S75" s="90">
        <f>+H75</f>
      </c>
      <c r="T75" s="90">
        <f>+L75</f>
      </c>
      <c r="U75" s="100">
        <f>+B71</f>
        <v>40441</v>
      </c>
      <c r="V75" s="105"/>
    </row>
    <row r="76" spans="1:22" ht="15.75" customHeight="1">
      <c r="A76" s="282"/>
      <c r="B76" s="283"/>
      <c r="C76" s="301"/>
      <c r="D76" s="286"/>
      <c r="E76" s="286"/>
      <c r="F76" s="287">
        <f>IF(F75&lt;&gt;"",LEFT(VLOOKUP(F75,'参加チーム'!$B$5:$F$73,5,FALSE),2),"")</f>
      </c>
      <c r="G76" s="288"/>
      <c r="H76" s="286"/>
      <c r="I76" s="289"/>
      <c r="J76" s="290"/>
      <c r="K76" s="289"/>
      <c r="L76" s="286"/>
      <c r="M76" s="287">
        <f>IF(M75&lt;&gt;"",LEFT(VLOOKUP(M75,'参加チーム'!$B$5:$F$73,5,FALSE),2),"")</f>
      </c>
      <c r="N76" s="288"/>
      <c r="O76" s="291"/>
      <c r="P76" s="292"/>
      <c r="R76" s="99" t="str">
        <f>+"後"&amp;M75&amp;F75</f>
        <v>後</v>
      </c>
      <c r="S76" s="90">
        <f>+L75</f>
      </c>
      <c r="T76" s="90">
        <f>+H75</f>
      </c>
      <c r="U76" s="100">
        <f>+B71</f>
        <v>40441</v>
      </c>
      <c r="V76" s="105"/>
    </row>
    <row r="77" spans="1:21" ht="15.75" customHeight="1">
      <c r="A77" s="282"/>
      <c r="B77" s="283"/>
      <c r="C77" s="301"/>
      <c r="D77" s="293">
        <v>4</v>
      </c>
      <c r="E77" s="294">
        <v>0.6666666666666666</v>
      </c>
      <c r="F77" s="295"/>
      <c r="G77" s="302">
        <f>IF(F77&lt;&gt;"",VLOOKUP($F77,'参加チーム'!$B$5:$F$73,3,FALSE),"")</f>
      </c>
      <c r="H77" s="297">
        <f>IF(I77&lt;&gt;"",I77+I78,"")</f>
      </c>
      <c r="I77" s="289"/>
      <c r="J77" s="298" t="s">
        <v>152</v>
      </c>
      <c r="K77" s="289"/>
      <c r="L77" s="297">
        <f>IF(K77&lt;&gt;"",K77+K78,"")</f>
      </c>
      <c r="M77" s="295"/>
      <c r="N77" s="302">
        <f>IF(M77&lt;&gt;"",VLOOKUP(M77,'参加チーム'!$B$5:$F$73,3,FALSE),"")</f>
      </c>
      <c r="O77" s="299">
        <f>+N77</f>
      </c>
      <c r="P77" s="292"/>
      <c r="R77" s="99" t="str">
        <f>+"後"&amp;F77&amp;M77</f>
        <v>後</v>
      </c>
      <c r="S77" s="90">
        <f>+H77</f>
      </c>
      <c r="T77" s="90">
        <f>+L77</f>
      </c>
      <c r="U77" s="100">
        <f>+B71</f>
        <v>40441</v>
      </c>
    </row>
    <row r="78" spans="1:21" ht="15.75" customHeight="1" thickBot="1">
      <c r="A78" s="303"/>
      <c r="B78" s="304"/>
      <c r="C78" s="305"/>
      <c r="D78" s="306"/>
      <c r="E78" s="307"/>
      <c r="F78" s="308">
        <f>IF(F77&lt;&gt;"",LEFT(VLOOKUP(F77,'参加チーム'!$B$5:$F$73,5,FALSE),2),"")</f>
      </c>
      <c r="G78" s="309"/>
      <c r="H78" s="307"/>
      <c r="I78" s="310"/>
      <c r="J78" s="311"/>
      <c r="K78" s="310"/>
      <c r="L78" s="307"/>
      <c r="M78" s="308">
        <f>IF(M77&lt;&gt;"",LEFT(VLOOKUP(M77,'参加チーム'!$B$5:$F$73,5,FALSE),2),"")</f>
      </c>
      <c r="N78" s="309"/>
      <c r="O78" s="312"/>
      <c r="P78" s="313"/>
      <c r="R78" s="102" t="str">
        <f>+"後"&amp;M77&amp;F77</f>
        <v>後</v>
      </c>
      <c r="S78" s="103">
        <f>+L77</f>
      </c>
      <c r="T78" s="103">
        <f>+H77</f>
      </c>
      <c r="U78" s="104">
        <f>+B71</f>
        <v>40441</v>
      </c>
    </row>
    <row r="79" spans="1:21" ht="15.75" customHeight="1">
      <c r="A79" s="270">
        <v>10</v>
      </c>
      <c r="B79" s="271">
        <v>40455</v>
      </c>
      <c r="C79" s="272" t="s">
        <v>50</v>
      </c>
      <c r="D79" s="273">
        <v>1</v>
      </c>
      <c r="E79" s="274">
        <v>0.4375</v>
      </c>
      <c r="F79" s="275"/>
      <c r="G79" s="276">
        <f>IF(F79&lt;&gt;"",VLOOKUP($F79,'参加チーム'!$B$5:$F$73,3,FALSE),"")</f>
      </c>
      <c r="H79" s="277">
        <f>IF(I79&lt;&gt;"",I79+I80,"")</f>
      </c>
      <c r="I79" s="278"/>
      <c r="J79" s="279" t="s">
        <v>80</v>
      </c>
      <c r="K79" s="278"/>
      <c r="L79" s="277">
        <f>IF(K79&lt;&gt;"",K79+K80,"")</f>
      </c>
      <c r="M79" s="275"/>
      <c r="N79" s="276">
        <f>IF(M79&lt;&gt;"",VLOOKUP(M79,'参加チーム'!$B$5:$F$73,3,FALSE),"")</f>
      </c>
      <c r="O79" s="280">
        <f>+N79</f>
      </c>
      <c r="P79" s="281">
        <f>+N79</f>
      </c>
      <c r="R79" s="96" t="str">
        <f>+"後"&amp;F79&amp;M79</f>
        <v>後</v>
      </c>
      <c r="S79" s="97">
        <f>IF(H79&lt;&gt;"",H79,"")</f>
      </c>
      <c r="T79" s="97">
        <f>IF(L79&lt;&gt;"",L79,"")</f>
      </c>
      <c r="U79" s="98">
        <f>+B79</f>
        <v>40455</v>
      </c>
    </row>
    <row r="80" spans="1:21" ht="15.75" customHeight="1">
      <c r="A80" s="282"/>
      <c r="B80" s="283"/>
      <c r="C80" s="284"/>
      <c r="D80" s="285"/>
      <c r="E80" s="286"/>
      <c r="F80" s="287">
        <f>IF(F79&lt;&gt;"",LEFT(VLOOKUP(F79,'参加チーム'!$B$5:$F$73,5,FALSE),2),"")</f>
      </c>
      <c r="G80" s="288"/>
      <c r="H80" s="286"/>
      <c r="I80" s="289"/>
      <c r="J80" s="290"/>
      <c r="K80" s="289"/>
      <c r="L80" s="286"/>
      <c r="M80" s="287">
        <f>IF(M79&lt;&gt;"",LEFT(VLOOKUP(M79,'参加チーム'!$B$5:$F$73,5,FALSE),2),"")</f>
      </c>
      <c r="N80" s="288"/>
      <c r="O80" s="291"/>
      <c r="P80" s="292"/>
      <c r="R80" s="99" t="str">
        <f>+"後"&amp;M79&amp;F79</f>
        <v>後</v>
      </c>
      <c r="S80" s="90">
        <f>IF(L79&lt;&gt;"",L79,"")</f>
      </c>
      <c r="T80" s="90">
        <f>IF(H79&lt;&gt;"",H79,"")</f>
      </c>
      <c r="U80" s="100">
        <f>+B79</f>
        <v>40455</v>
      </c>
    </row>
    <row r="81" spans="1:21" ht="15.75" customHeight="1">
      <c r="A81" s="282"/>
      <c r="B81" s="283"/>
      <c r="C81" s="284"/>
      <c r="D81" s="293">
        <v>2</v>
      </c>
      <c r="E81" s="294">
        <v>0.513888888888889</v>
      </c>
      <c r="F81" s="295"/>
      <c r="G81" s="296">
        <f>IF(F81&lt;&gt;"",VLOOKUP($F81,'参加チーム'!$B$5:$F$73,3,FALSE),"")</f>
      </c>
      <c r="H81" s="297">
        <f>IF(I81&lt;&gt;"",I81+I82,"")</f>
      </c>
      <c r="I81" s="289"/>
      <c r="J81" s="298" t="s">
        <v>152</v>
      </c>
      <c r="K81" s="289"/>
      <c r="L81" s="297">
        <f>IF(K81&lt;&gt;"",K81+K82,"")</f>
      </c>
      <c r="M81" s="295"/>
      <c r="N81" s="296">
        <f>IF(M81&lt;&gt;"",VLOOKUP(M81,'参加チーム'!$B$5:$F$73,3,FALSE),"")</f>
      </c>
      <c r="O81" s="299">
        <f>+N81</f>
      </c>
      <c r="P81" s="292"/>
      <c r="R81" s="99" t="str">
        <f>+"後"&amp;F81&amp;M81</f>
        <v>後</v>
      </c>
      <c r="S81" s="90">
        <f>+H81</f>
      </c>
      <c r="T81" s="90">
        <f>+L81</f>
      </c>
      <c r="U81" s="100">
        <f>+B79</f>
        <v>40455</v>
      </c>
    </row>
    <row r="82" spans="1:21" ht="15.75" customHeight="1">
      <c r="A82" s="282"/>
      <c r="B82" s="283"/>
      <c r="C82" s="300" t="s">
        <v>222</v>
      </c>
      <c r="D82" s="285"/>
      <c r="E82" s="286"/>
      <c r="F82" s="287">
        <f>IF(F81&lt;&gt;"",LEFT(VLOOKUP(F81,'参加チーム'!$B$5:$F$73,5,FALSE),2),"")</f>
      </c>
      <c r="G82" s="288"/>
      <c r="H82" s="286"/>
      <c r="I82" s="289"/>
      <c r="J82" s="290"/>
      <c r="K82" s="289"/>
      <c r="L82" s="286"/>
      <c r="M82" s="287">
        <f>IF(M81&lt;&gt;"",LEFT(VLOOKUP(M81,'参加チーム'!$B$5:$F$73,5,FALSE),2),"")</f>
      </c>
      <c r="N82" s="288"/>
      <c r="O82" s="291"/>
      <c r="P82" s="292"/>
      <c r="R82" s="99" t="str">
        <f>+"後"&amp;M81&amp;F81</f>
        <v>後</v>
      </c>
      <c r="S82" s="90">
        <f>+L81</f>
      </c>
      <c r="T82" s="90">
        <f>+H81</f>
      </c>
      <c r="U82" s="100">
        <f>+B79</f>
        <v>40455</v>
      </c>
    </row>
    <row r="83" spans="1:21" ht="15.75" customHeight="1">
      <c r="A83" s="282"/>
      <c r="B83" s="283"/>
      <c r="C83" s="301"/>
      <c r="D83" s="297">
        <v>3</v>
      </c>
      <c r="E83" s="294">
        <v>0.5902777777777778</v>
      </c>
      <c r="F83" s="295"/>
      <c r="G83" s="296">
        <f>IF(F83&lt;&gt;"",VLOOKUP($F83,'参加チーム'!$B$5:$F$73,3,FALSE),"")</f>
      </c>
      <c r="H83" s="297">
        <f>IF(I83&lt;&gt;"",I83+I84,"")</f>
      </c>
      <c r="I83" s="289"/>
      <c r="J83" s="298" t="s">
        <v>152</v>
      </c>
      <c r="K83" s="289"/>
      <c r="L83" s="297">
        <f>IF(K83&lt;&gt;"",K83+K84,"")</f>
      </c>
      <c r="M83" s="295"/>
      <c r="N83" s="296">
        <f>IF(M83&lt;&gt;"",VLOOKUP(M83,'参加チーム'!$B$5:$F$73,3,FALSE),"")</f>
      </c>
      <c r="O83" s="299">
        <f>+N83</f>
      </c>
      <c r="P83" s="292"/>
      <c r="R83" s="99" t="str">
        <f>+"後"&amp;F83&amp;M83</f>
        <v>後</v>
      </c>
      <c r="S83" s="90">
        <f>+H83</f>
      </c>
      <c r="T83" s="90">
        <f>+L83</f>
      </c>
      <c r="U83" s="100">
        <f>+B79</f>
        <v>40455</v>
      </c>
    </row>
    <row r="84" spans="1:21" ht="15.75" customHeight="1">
      <c r="A84" s="282"/>
      <c r="B84" s="283"/>
      <c r="C84" s="301"/>
      <c r="D84" s="286"/>
      <c r="E84" s="286"/>
      <c r="F84" s="287">
        <f>IF(F83&lt;&gt;"",LEFT(VLOOKUP(F83,'参加チーム'!$B$5:$F$73,5,FALSE),2),"")</f>
      </c>
      <c r="G84" s="288"/>
      <c r="H84" s="286"/>
      <c r="I84" s="289"/>
      <c r="J84" s="290"/>
      <c r="K84" s="289"/>
      <c r="L84" s="286"/>
      <c r="M84" s="287">
        <f>IF(M83&lt;&gt;"",LEFT(VLOOKUP(M83,'参加チーム'!$B$5:$F$73,5,FALSE),2),"")</f>
      </c>
      <c r="N84" s="288"/>
      <c r="O84" s="291"/>
      <c r="P84" s="292"/>
      <c r="R84" s="99" t="str">
        <f>+"後"&amp;M83&amp;F83</f>
        <v>後</v>
      </c>
      <c r="S84" s="90">
        <f>+L83</f>
      </c>
      <c r="T84" s="90">
        <f>+H83</f>
      </c>
      <c r="U84" s="100">
        <f>+B79</f>
        <v>40455</v>
      </c>
    </row>
    <row r="85" spans="1:21" ht="15.75" customHeight="1">
      <c r="A85" s="282"/>
      <c r="B85" s="283"/>
      <c r="C85" s="301"/>
      <c r="D85" s="293">
        <v>4</v>
      </c>
      <c r="E85" s="294">
        <v>0.6666666666666666</v>
      </c>
      <c r="F85" s="295"/>
      <c r="G85" s="302">
        <f>IF(F85&lt;&gt;"",VLOOKUP($F85,'参加チーム'!$B$5:$F$73,3,FALSE),"")</f>
      </c>
      <c r="H85" s="297">
        <f>IF(I85&lt;&gt;"",I85+I86,"")</f>
      </c>
      <c r="I85" s="289"/>
      <c r="J85" s="298" t="s">
        <v>152</v>
      </c>
      <c r="K85" s="289"/>
      <c r="L85" s="297">
        <f>IF(K85&lt;&gt;"",K85+K86,"")</f>
      </c>
      <c r="M85" s="295"/>
      <c r="N85" s="302">
        <f>IF(M85&lt;&gt;"",VLOOKUP(M85,'参加チーム'!$B$5:$F$73,3,FALSE),"")</f>
      </c>
      <c r="O85" s="299">
        <f>+N85</f>
      </c>
      <c r="P85" s="292"/>
      <c r="R85" s="99" t="str">
        <f>+"後"&amp;F85&amp;M85</f>
        <v>後</v>
      </c>
      <c r="S85" s="90">
        <f>+H85</f>
      </c>
      <c r="T85" s="90">
        <f>+L85</f>
      </c>
      <c r="U85" s="100">
        <f>+B79</f>
        <v>40455</v>
      </c>
    </row>
    <row r="86" spans="1:21" ht="15.75" customHeight="1" thickBot="1">
      <c r="A86" s="303"/>
      <c r="B86" s="304"/>
      <c r="C86" s="305"/>
      <c r="D86" s="306"/>
      <c r="E86" s="307"/>
      <c r="F86" s="308">
        <f>IF(F85&lt;&gt;"",LEFT(VLOOKUP(F85,'参加チーム'!$B$5:$F$73,5,FALSE),2),"")</f>
      </c>
      <c r="G86" s="309"/>
      <c r="H86" s="307"/>
      <c r="I86" s="310"/>
      <c r="J86" s="311"/>
      <c r="K86" s="310"/>
      <c r="L86" s="307"/>
      <c r="M86" s="308">
        <f>IF(M85&lt;&gt;"",LEFT(VLOOKUP(M85,'参加チーム'!$B$5:$F$73,5,FALSE),2),"")</f>
      </c>
      <c r="N86" s="309"/>
      <c r="O86" s="312"/>
      <c r="P86" s="313"/>
      <c r="R86" s="102" t="str">
        <f>+"後"&amp;M85&amp;F85</f>
        <v>後</v>
      </c>
      <c r="S86" s="103">
        <f>+L85</f>
      </c>
      <c r="T86" s="103">
        <f>+H85</f>
      </c>
      <c r="U86" s="104">
        <f>+B79</f>
        <v>40455</v>
      </c>
    </row>
    <row r="87" spans="1:21" ht="15.75" customHeight="1">
      <c r="A87" s="270">
        <v>11</v>
      </c>
      <c r="B87" s="271">
        <v>40462</v>
      </c>
      <c r="C87" s="272" t="s">
        <v>101</v>
      </c>
      <c r="D87" s="273">
        <v>1</v>
      </c>
      <c r="E87" s="274">
        <v>0.4375</v>
      </c>
      <c r="F87" s="275"/>
      <c r="G87" s="276">
        <f>IF(F87&lt;&gt;"",VLOOKUP($F87,'参加チーム'!$B$5:$F$73,3,FALSE),"")</f>
      </c>
      <c r="H87" s="277">
        <f>IF(I87&lt;&gt;"",I87+I88,"")</f>
      </c>
      <c r="I87" s="278"/>
      <c r="J87" s="279" t="s">
        <v>80</v>
      </c>
      <c r="K87" s="278"/>
      <c r="L87" s="277">
        <f>IF(K87&lt;&gt;"",K87+K88,"")</f>
      </c>
      <c r="M87" s="275"/>
      <c r="N87" s="276">
        <f>IF(M87&lt;&gt;"",VLOOKUP(M87,'参加チーム'!$B$5:$F$73,3,FALSE),"")</f>
      </c>
      <c r="O87" s="280">
        <f>+N87</f>
      </c>
      <c r="P87" s="281">
        <f>+N93</f>
      </c>
      <c r="R87" s="96" t="str">
        <f>+"後"&amp;F87&amp;M87</f>
        <v>後</v>
      </c>
      <c r="S87" s="97">
        <f>IF(H87&lt;&gt;"",H87,"")</f>
      </c>
      <c r="T87" s="97">
        <f>IF(L87&lt;&gt;"",L87,"")</f>
      </c>
      <c r="U87" s="98">
        <f>+B87</f>
        <v>40462</v>
      </c>
    </row>
    <row r="88" spans="1:21" ht="15.75" customHeight="1">
      <c r="A88" s="282"/>
      <c r="B88" s="283"/>
      <c r="C88" s="284"/>
      <c r="D88" s="285"/>
      <c r="E88" s="286"/>
      <c r="F88" s="287">
        <f>IF(F87&lt;&gt;"",LEFT(VLOOKUP(F87,'参加チーム'!$B$5:$F$73,5,FALSE),2),"")</f>
      </c>
      <c r="G88" s="288"/>
      <c r="H88" s="286"/>
      <c r="I88" s="289"/>
      <c r="J88" s="290"/>
      <c r="K88" s="289"/>
      <c r="L88" s="286"/>
      <c r="M88" s="287">
        <f>IF(M87&lt;&gt;"",LEFT(VLOOKUP(M87,'参加チーム'!$B$5:$F$73,5,FALSE),2),"")</f>
      </c>
      <c r="N88" s="288"/>
      <c r="O88" s="291"/>
      <c r="P88" s="292"/>
      <c r="R88" s="99" t="str">
        <f>+"後"&amp;M87&amp;F87</f>
        <v>後</v>
      </c>
      <c r="S88" s="90">
        <f>IF(L87&lt;&gt;"",L87,"")</f>
      </c>
      <c r="T88" s="90">
        <f>IF(H87&lt;&gt;"",H87,"")</f>
      </c>
      <c r="U88" s="100">
        <f>+B87</f>
        <v>40462</v>
      </c>
    </row>
    <row r="89" spans="1:21" ht="15.75" customHeight="1">
      <c r="A89" s="282"/>
      <c r="B89" s="283"/>
      <c r="C89" s="284"/>
      <c r="D89" s="293">
        <v>2</v>
      </c>
      <c r="E89" s="294">
        <v>0.513888888888889</v>
      </c>
      <c r="F89" s="295"/>
      <c r="G89" s="296">
        <f>IF(F89&lt;&gt;"",VLOOKUP($F89,'参加チーム'!$B$5:$F$73,3,FALSE),"")</f>
      </c>
      <c r="H89" s="297">
        <f>IF(I89&lt;&gt;"",I89+I90,"")</f>
      </c>
      <c r="I89" s="289"/>
      <c r="J89" s="298" t="s">
        <v>152</v>
      </c>
      <c r="K89" s="289"/>
      <c r="L89" s="297">
        <f>IF(K89&lt;&gt;"",K89+K90,"")</f>
      </c>
      <c r="M89" s="295"/>
      <c r="N89" s="296">
        <f>IF(M89&lt;&gt;"",VLOOKUP(M89,'参加チーム'!$B$5:$F$73,3,FALSE),"")</f>
      </c>
      <c r="O89" s="299">
        <f>+N89</f>
      </c>
      <c r="P89" s="292"/>
      <c r="R89" s="99" t="str">
        <f>+"後"&amp;F89&amp;M89</f>
        <v>後</v>
      </c>
      <c r="S89" s="90">
        <f>+H89</f>
      </c>
      <c r="T89" s="90">
        <f>+L89</f>
      </c>
      <c r="U89" s="100">
        <f>+B87</f>
        <v>40462</v>
      </c>
    </row>
    <row r="90" spans="1:21" ht="15.75" customHeight="1">
      <c r="A90" s="282"/>
      <c r="B90" s="283"/>
      <c r="C90" s="300" t="s">
        <v>150</v>
      </c>
      <c r="D90" s="285"/>
      <c r="E90" s="286"/>
      <c r="F90" s="287">
        <f>IF(F89&lt;&gt;"",LEFT(VLOOKUP(F89,'参加チーム'!$B$5:$F$73,5,FALSE),2),"")</f>
      </c>
      <c r="G90" s="288"/>
      <c r="H90" s="286"/>
      <c r="I90" s="289"/>
      <c r="J90" s="290"/>
      <c r="K90" s="289"/>
      <c r="L90" s="286"/>
      <c r="M90" s="287">
        <f>IF(M89&lt;&gt;"",LEFT(VLOOKUP(M89,'参加チーム'!$B$5:$F$73,5,FALSE),2),"")</f>
      </c>
      <c r="N90" s="288"/>
      <c r="O90" s="291"/>
      <c r="P90" s="292"/>
      <c r="R90" s="99" t="str">
        <f>+"後"&amp;M89&amp;F89</f>
        <v>後</v>
      </c>
      <c r="S90" s="90">
        <f>+L89</f>
      </c>
      <c r="T90" s="90">
        <f>+H89</f>
      </c>
      <c r="U90" s="100">
        <f>+B87</f>
        <v>40462</v>
      </c>
    </row>
    <row r="91" spans="1:21" ht="15.75" customHeight="1">
      <c r="A91" s="282"/>
      <c r="B91" s="283"/>
      <c r="C91" s="301"/>
      <c r="D91" s="297">
        <v>3</v>
      </c>
      <c r="E91" s="294">
        <v>0.5902777777777778</v>
      </c>
      <c r="F91" s="295"/>
      <c r="G91" s="296">
        <f>IF(F91&lt;&gt;"",VLOOKUP($F91,'参加チーム'!$B$5:$F$73,3,FALSE),"")</f>
      </c>
      <c r="H91" s="297">
        <f>IF(I91&lt;&gt;"",I91+I92,"")</f>
      </c>
      <c r="I91" s="289"/>
      <c r="J91" s="298" t="s">
        <v>152</v>
      </c>
      <c r="K91" s="289"/>
      <c r="L91" s="297">
        <f>IF(K91&lt;&gt;"",K91+K92,"")</f>
      </c>
      <c r="M91" s="295"/>
      <c r="N91" s="296">
        <f>IF(M91&lt;&gt;"",VLOOKUP(M91,'参加チーム'!$B$5:$F$73,3,FALSE),"")</f>
      </c>
      <c r="O91" s="299">
        <f>+N91</f>
      </c>
      <c r="P91" s="292"/>
      <c r="R91" s="99" t="str">
        <f>+"後"&amp;F91&amp;M91</f>
        <v>後</v>
      </c>
      <c r="S91" s="90">
        <f>+H91</f>
      </c>
      <c r="T91" s="90">
        <f>+L91</f>
      </c>
      <c r="U91" s="100">
        <f>+B87</f>
        <v>40462</v>
      </c>
    </row>
    <row r="92" spans="1:21" ht="15.75" customHeight="1">
      <c r="A92" s="282"/>
      <c r="B92" s="283"/>
      <c r="C92" s="301"/>
      <c r="D92" s="286"/>
      <c r="E92" s="286"/>
      <c r="F92" s="287">
        <f>IF(F91&lt;&gt;"",LEFT(VLOOKUP(F91,'参加チーム'!$B$5:$F$73,5,FALSE),2),"")</f>
      </c>
      <c r="G92" s="288"/>
      <c r="H92" s="286"/>
      <c r="I92" s="289"/>
      <c r="J92" s="290"/>
      <c r="K92" s="289"/>
      <c r="L92" s="286"/>
      <c r="M92" s="287">
        <f>IF(M91&lt;&gt;"",LEFT(VLOOKUP(M91,'参加チーム'!$B$5:$F$73,5,FALSE),2),"")</f>
      </c>
      <c r="N92" s="288"/>
      <c r="O92" s="291"/>
      <c r="P92" s="292"/>
      <c r="R92" s="99" t="str">
        <f>+"後"&amp;M91&amp;F91</f>
        <v>後</v>
      </c>
      <c r="S92" s="90">
        <f>+L91</f>
      </c>
      <c r="T92" s="90">
        <f>+H91</f>
      </c>
      <c r="U92" s="100">
        <f>+B87</f>
        <v>40462</v>
      </c>
    </row>
    <row r="93" spans="1:21" ht="15.75" customHeight="1">
      <c r="A93" s="282"/>
      <c r="B93" s="283"/>
      <c r="C93" s="301"/>
      <c r="D93" s="293">
        <v>4</v>
      </c>
      <c r="E93" s="294">
        <v>0.6666666666666666</v>
      </c>
      <c r="F93" s="295"/>
      <c r="G93" s="302">
        <f>IF(F93&lt;&gt;"",VLOOKUP($F93,'参加チーム'!$B$5:$F$73,3,FALSE),"")</f>
      </c>
      <c r="H93" s="297">
        <f>IF(I93&lt;&gt;"",I93+I94,"")</f>
      </c>
      <c r="I93" s="289"/>
      <c r="J93" s="298" t="s">
        <v>152</v>
      </c>
      <c r="K93" s="289"/>
      <c r="L93" s="297">
        <f>IF(K93&lt;&gt;"",K93+K94,"")</f>
      </c>
      <c r="M93" s="295"/>
      <c r="N93" s="302">
        <f>IF(M93&lt;&gt;"",VLOOKUP(M93,'参加チーム'!$B$5:$F$73,3,FALSE),"")</f>
      </c>
      <c r="O93" s="299">
        <f>+N93</f>
      </c>
      <c r="P93" s="292"/>
      <c r="R93" s="99" t="str">
        <f>+"後"&amp;F93&amp;M93</f>
        <v>後</v>
      </c>
      <c r="S93" s="90">
        <f>+H93</f>
      </c>
      <c r="T93" s="90">
        <f>+L93</f>
      </c>
      <c r="U93" s="100">
        <f>+B87</f>
        <v>40462</v>
      </c>
    </row>
    <row r="94" spans="1:21" ht="15.75" customHeight="1" thickBot="1">
      <c r="A94" s="303"/>
      <c r="B94" s="304"/>
      <c r="C94" s="305"/>
      <c r="D94" s="306"/>
      <c r="E94" s="307"/>
      <c r="F94" s="308">
        <f>IF(F93&lt;&gt;"",LEFT(VLOOKUP(F93,'参加チーム'!$B$5:$F$73,5,FALSE),2),"")</f>
      </c>
      <c r="G94" s="309"/>
      <c r="H94" s="307"/>
      <c r="I94" s="310"/>
      <c r="J94" s="311"/>
      <c r="K94" s="310"/>
      <c r="L94" s="307"/>
      <c r="M94" s="308">
        <f>IF(M93&lt;&gt;"",LEFT(VLOOKUP(M93,'参加チーム'!$B$5:$F$73,5,FALSE),2),"")</f>
      </c>
      <c r="N94" s="309"/>
      <c r="O94" s="312"/>
      <c r="P94" s="313"/>
      <c r="R94" s="102" t="str">
        <f>+"後"&amp;M93&amp;F93</f>
        <v>後</v>
      </c>
      <c r="S94" s="103">
        <f>+L93</f>
      </c>
      <c r="T94" s="103">
        <f>+H93</f>
      </c>
      <c r="U94" s="104">
        <f>+B87</f>
        <v>40462</v>
      </c>
    </row>
    <row r="95" spans="1:21" ht="15.75" customHeight="1">
      <c r="A95" s="270">
        <v>12</v>
      </c>
      <c r="B95" s="271">
        <v>40469</v>
      </c>
      <c r="C95" s="272" t="s">
        <v>52</v>
      </c>
      <c r="D95" s="273">
        <v>1</v>
      </c>
      <c r="E95" s="274">
        <v>0.4375</v>
      </c>
      <c r="F95" s="295"/>
      <c r="G95" s="276">
        <f>IF(F95&lt;&gt;"",VLOOKUP($F95,'参加チーム'!$B$5:$F$73,3,FALSE),"")</f>
      </c>
      <c r="H95" s="277">
        <f>IF(I95&lt;&gt;"",I95+I96,"")</f>
      </c>
      <c r="I95" s="278"/>
      <c r="J95" s="279" t="s">
        <v>80</v>
      </c>
      <c r="K95" s="278"/>
      <c r="L95" s="277">
        <f>IF(K95&lt;&gt;"",K95+K96,"")</f>
      </c>
      <c r="M95" s="275"/>
      <c r="N95" s="276">
        <f>IF(M95&lt;&gt;"",VLOOKUP(M95,'参加チーム'!$B$5:$F$73,3,FALSE),"")</f>
      </c>
      <c r="O95" s="280">
        <f>+N95</f>
      </c>
      <c r="P95" s="281">
        <f>+N101</f>
      </c>
      <c r="R95" s="96" t="str">
        <f>+"後"&amp;F95&amp;M95</f>
        <v>後</v>
      </c>
      <c r="S95" s="97">
        <f>IF(H95&lt;&gt;"",H95,"")</f>
      </c>
      <c r="T95" s="97">
        <f>IF(L95&lt;&gt;"",L95,"")</f>
      </c>
      <c r="U95" s="98">
        <f>+B95</f>
        <v>40469</v>
      </c>
    </row>
    <row r="96" spans="1:21" ht="15.75" customHeight="1">
      <c r="A96" s="282"/>
      <c r="B96" s="283"/>
      <c r="C96" s="284"/>
      <c r="D96" s="285"/>
      <c r="E96" s="286"/>
      <c r="F96" s="287">
        <f>IF(F95&lt;&gt;"",LEFT(VLOOKUP(F95,'参加チーム'!$B$5:$F$73,5,FALSE),2),"")</f>
      </c>
      <c r="G96" s="288"/>
      <c r="H96" s="286"/>
      <c r="I96" s="289"/>
      <c r="J96" s="290"/>
      <c r="K96" s="289"/>
      <c r="L96" s="286"/>
      <c r="M96" s="287">
        <f>IF(M95&lt;&gt;"",LEFT(VLOOKUP(M95,'参加チーム'!$B$5:$F$73,5,FALSE),2),"")</f>
      </c>
      <c r="N96" s="288"/>
      <c r="O96" s="291"/>
      <c r="P96" s="292"/>
      <c r="R96" s="99" t="str">
        <f>+"後"&amp;M95&amp;F95</f>
        <v>後</v>
      </c>
      <c r="S96" s="90">
        <f>IF(L95&lt;&gt;"",L95,"")</f>
      </c>
      <c r="T96" s="90">
        <f>IF(H95&lt;&gt;"",H95,"")</f>
      </c>
      <c r="U96" s="100">
        <f>+B95</f>
        <v>40469</v>
      </c>
    </row>
    <row r="97" spans="1:21" ht="15.75" customHeight="1">
      <c r="A97" s="282"/>
      <c r="B97" s="283"/>
      <c r="C97" s="284"/>
      <c r="D97" s="293">
        <v>2</v>
      </c>
      <c r="E97" s="294">
        <v>0.513888888888889</v>
      </c>
      <c r="F97" s="295"/>
      <c r="G97" s="296">
        <f>IF(F97&lt;&gt;"",VLOOKUP($F97,'参加チーム'!$B$5:$F$73,3,FALSE),"")</f>
      </c>
      <c r="H97" s="297">
        <f>IF(I97&lt;&gt;"",I97+I98,"")</f>
      </c>
      <c r="I97" s="289"/>
      <c r="J97" s="298" t="s">
        <v>152</v>
      </c>
      <c r="K97" s="289"/>
      <c r="L97" s="297">
        <f>IF(K97&lt;&gt;"",K97+K98,"")</f>
      </c>
      <c r="M97" s="295"/>
      <c r="N97" s="296">
        <f>IF(M97&lt;&gt;"",VLOOKUP(M97,'参加チーム'!$B$5:$F$73,3,FALSE),"")</f>
      </c>
      <c r="O97" s="299">
        <f>+N97</f>
      </c>
      <c r="P97" s="292"/>
      <c r="R97" s="99" t="str">
        <f>+"後"&amp;F97&amp;M97</f>
        <v>後</v>
      </c>
      <c r="S97" s="90">
        <f>+H97</f>
      </c>
      <c r="T97" s="90">
        <f>+L97</f>
      </c>
      <c r="U97" s="100">
        <f>+B95</f>
        <v>40469</v>
      </c>
    </row>
    <row r="98" spans="1:21" ht="15.75" customHeight="1">
      <c r="A98" s="282"/>
      <c r="B98" s="283"/>
      <c r="C98" s="300" t="s">
        <v>232</v>
      </c>
      <c r="D98" s="285"/>
      <c r="E98" s="286"/>
      <c r="F98" s="287">
        <f>IF(F97&lt;&gt;"",LEFT(VLOOKUP(F97,'参加チーム'!$B$5:$F$73,5,FALSE),2),"")</f>
      </c>
      <c r="G98" s="288"/>
      <c r="H98" s="286"/>
      <c r="I98" s="289"/>
      <c r="J98" s="290"/>
      <c r="K98" s="289"/>
      <c r="L98" s="286"/>
      <c r="M98" s="287">
        <f>IF(M97&lt;&gt;"",LEFT(VLOOKUP(M97,'参加チーム'!$B$5:$F$73,5,FALSE),2),"")</f>
      </c>
      <c r="N98" s="288"/>
      <c r="O98" s="291"/>
      <c r="P98" s="292"/>
      <c r="R98" s="99" t="str">
        <f>+"後"&amp;M97&amp;F97</f>
        <v>後</v>
      </c>
      <c r="S98" s="90">
        <f>+L97</f>
      </c>
      <c r="T98" s="90">
        <f>+H97</f>
      </c>
      <c r="U98" s="100">
        <f>+B95</f>
        <v>40469</v>
      </c>
    </row>
    <row r="99" spans="1:21" ht="15.75" customHeight="1">
      <c r="A99" s="282"/>
      <c r="B99" s="283"/>
      <c r="C99" s="301"/>
      <c r="D99" s="297">
        <v>3</v>
      </c>
      <c r="E99" s="294">
        <v>0.5902777777777778</v>
      </c>
      <c r="F99" s="295"/>
      <c r="G99" s="296">
        <f>IF(F99&lt;&gt;"",VLOOKUP($F99,'参加チーム'!$B$5:$F$73,3,FALSE),"")</f>
      </c>
      <c r="H99" s="297">
        <f>IF(I99&lt;&gt;"",I99+I100,"")</f>
      </c>
      <c r="I99" s="289"/>
      <c r="J99" s="298" t="s">
        <v>152</v>
      </c>
      <c r="K99" s="289"/>
      <c r="L99" s="297">
        <f>IF(K99&lt;&gt;"",K99+K100,"")</f>
      </c>
      <c r="M99" s="295"/>
      <c r="N99" s="296">
        <f>IF(M99&lt;&gt;"",VLOOKUP(M99,'参加チーム'!$B$5:$F$73,3,FALSE),"")</f>
      </c>
      <c r="O99" s="299">
        <f>+N99</f>
      </c>
      <c r="P99" s="292"/>
      <c r="R99" s="99" t="str">
        <f>+"後"&amp;F99&amp;M99</f>
        <v>後</v>
      </c>
      <c r="S99" s="90">
        <f>+H99</f>
      </c>
      <c r="T99" s="90">
        <f>+L99</f>
      </c>
      <c r="U99" s="100">
        <f>+B95</f>
        <v>40469</v>
      </c>
    </row>
    <row r="100" spans="1:21" ht="15.75" customHeight="1">
      <c r="A100" s="282"/>
      <c r="B100" s="283"/>
      <c r="C100" s="301"/>
      <c r="D100" s="286"/>
      <c r="E100" s="286"/>
      <c r="F100" s="287">
        <f>IF(F99&lt;&gt;"",LEFT(VLOOKUP(F99,'参加チーム'!$B$5:$F$73,5,FALSE),2),"")</f>
      </c>
      <c r="G100" s="288"/>
      <c r="H100" s="286"/>
      <c r="I100" s="289"/>
      <c r="J100" s="290"/>
      <c r="K100" s="289"/>
      <c r="L100" s="286"/>
      <c r="M100" s="287">
        <f>IF(M99&lt;&gt;"",LEFT(VLOOKUP(M99,'参加チーム'!$B$5:$F$73,5,FALSE),2),"")</f>
      </c>
      <c r="N100" s="288"/>
      <c r="O100" s="291"/>
      <c r="P100" s="292"/>
      <c r="R100" s="99" t="str">
        <f>+"後"&amp;M99&amp;F99</f>
        <v>後</v>
      </c>
      <c r="S100" s="90">
        <f>+L99</f>
      </c>
      <c r="T100" s="90">
        <f>+H99</f>
      </c>
      <c r="U100" s="100">
        <f>+B95</f>
        <v>40469</v>
      </c>
    </row>
    <row r="101" spans="1:21" ht="15.75" customHeight="1">
      <c r="A101" s="282"/>
      <c r="B101" s="283"/>
      <c r="C101" s="301"/>
      <c r="D101" s="293">
        <v>4</v>
      </c>
      <c r="E101" s="294">
        <v>0.6666666666666666</v>
      </c>
      <c r="F101" s="295"/>
      <c r="G101" s="302">
        <f>IF(F101&lt;&gt;"",VLOOKUP($F101,'参加チーム'!$B$5:$F$73,3,FALSE),"")</f>
      </c>
      <c r="H101" s="297">
        <f>IF(I101&lt;&gt;"",I101+I102,"")</f>
      </c>
      <c r="I101" s="289"/>
      <c r="J101" s="298" t="s">
        <v>152</v>
      </c>
      <c r="K101" s="289"/>
      <c r="L101" s="297">
        <f>IF(K101&lt;&gt;"",K101+K102,"")</f>
      </c>
      <c r="M101" s="295"/>
      <c r="N101" s="302">
        <f>IF(M101&lt;&gt;"",VLOOKUP(M101,'参加チーム'!$B$5:$F$73,3,FALSE),"")</f>
      </c>
      <c r="O101" s="299">
        <f>+N101</f>
      </c>
      <c r="P101" s="292"/>
      <c r="R101" s="99" t="str">
        <f>+"後"&amp;F101&amp;M101</f>
        <v>後</v>
      </c>
      <c r="S101" s="90">
        <f>+H101</f>
      </c>
      <c r="T101" s="90">
        <f>+L101</f>
      </c>
      <c r="U101" s="100">
        <f>+B95</f>
        <v>40469</v>
      </c>
    </row>
    <row r="102" spans="1:21" ht="15.75" customHeight="1" thickBot="1">
      <c r="A102" s="303"/>
      <c r="B102" s="304"/>
      <c r="C102" s="305"/>
      <c r="D102" s="306"/>
      <c r="E102" s="307"/>
      <c r="F102" s="308">
        <f>IF(F101&lt;&gt;"",LEFT(VLOOKUP(F101,'参加チーム'!$B$5:$F$73,5,FALSE),2),"")</f>
      </c>
      <c r="G102" s="309"/>
      <c r="H102" s="307"/>
      <c r="I102" s="310"/>
      <c r="J102" s="311"/>
      <c r="K102" s="310"/>
      <c r="L102" s="307"/>
      <c r="M102" s="308">
        <f>IF(M101&lt;&gt;"",LEFT(VLOOKUP(M101,'参加チーム'!$B$5:$F$73,5,FALSE),2),"")</f>
      </c>
      <c r="N102" s="309"/>
      <c r="O102" s="312"/>
      <c r="P102" s="313"/>
      <c r="R102" s="102" t="str">
        <f>+"後"&amp;M101&amp;F101</f>
        <v>後</v>
      </c>
      <c r="S102" s="103">
        <f>+L101</f>
      </c>
      <c r="T102" s="103">
        <f>+H101</f>
      </c>
      <c r="U102" s="104">
        <f>+B95</f>
        <v>40469</v>
      </c>
    </row>
    <row r="103" spans="1:21" ht="15.75" customHeight="1">
      <c r="A103" s="270">
        <v>13</v>
      </c>
      <c r="B103" s="271">
        <v>40511</v>
      </c>
      <c r="C103" s="272" t="s">
        <v>101</v>
      </c>
      <c r="D103" s="273">
        <v>1</v>
      </c>
      <c r="E103" s="274">
        <v>0.4375</v>
      </c>
      <c r="F103" s="275"/>
      <c r="G103" s="276">
        <f>IF(F103&lt;&gt;"",VLOOKUP($F103,'参加チーム'!$B$5:$F$73,3,FALSE),"")</f>
      </c>
      <c r="H103" s="277">
        <f>IF(I103&lt;&gt;"",I103+I104,"")</f>
      </c>
      <c r="I103" s="278"/>
      <c r="J103" s="279" t="s">
        <v>80</v>
      </c>
      <c r="K103" s="278"/>
      <c r="L103" s="277">
        <f>IF(K103&lt;&gt;"",K103+K104,"")</f>
      </c>
      <c r="M103" s="275"/>
      <c r="N103" s="276">
        <f>IF(M103&lt;&gt;"",VLOOKUP(M103,'参加チーム'!$B$5:$F$73,3,FALSE),"")</f>
      </c>
      <c r="O103" s="280">
        <f>+N103</f>
      </c>
      <c r="P103" s="281">
        <f>+G103</f>
      </c>
      <c r="R103" s="96" t="str">
        <f>+"後"&amp;F103&amp;M103</f>
        <v>後</v>
      </c>
      <c r="S103" s="97">
        <f>IF(H103&lt;&gt;"",H103,"")</f>
      </c>
      <c r="T103" s="97">
        <f>IF(L103&lt;&gt;"",L103,"")</f>
      </c>
      <c r="U103" s="98">
        <f>+B103</f>
        <v>40511</v>
      </c>
    </row>
    <row r="104" spans="1:21" ht="15.75" customHeight="1">
      <c r="A104" s="282"/>
      <c r="B104" s="283"/>
      <c r="C104" s="284"/>
      <c r="D104" s="285"/>
      <c r="E104" s="286"/>
      <c r="F104" s="287">
        <f>IF(F103&lt;&gt;"",LEFT(VLOOKUP(F103,'参加チーム'!$B$5:$F$73,5,FALSE),2),"")</f>
      </c>
      <c r="G104" s="288"/>
      <c r="H104" s="286"/>
      <c r="I104" s="289"/>
      <c r="J104" s="290"/>
      <c r="K104" s="289"/>
      <c r="L104" s="286"/>
      <c r="M104" s="287">
        <f>IF(M103&lt;&gt;"",LEFT(VLOOKUP(M103,'参加チーム'!$B$5:$F$73,5,FALSE),2),"")</f>
      </c>
      <c r="N104" s="288"/>
      <c r="O104" s="291"/>
      <c r="P104" s="292"/>
      <c r="R104" s="99" t="str">
        <f>+"後"&amp;M103&amp;F103</f>
        <v>後</v>
      </c>
      <c r="S104" s="90">
        <f>IF(L103&lt;&gt;"",L103,"")</f>
      </c>
      <c r="T104" s="90">
        <f>IF(H103&lt;&gt;"",H103,"")</f>
      </c>
      <c r="U104" s="100">
        <f>+B103</f>
        <v>40511</v>
      </c>
    </row>
    <row r="105" spans="1:21" ht="15.75" customHeight="1">
      <c r="A105" s="282"/>
      <c r="B105" s="283"/>
      <c r="C105" s="284"/>
      <c r="D105" s="293">
        <v>2</v>
      </c>
      <c r="E105" s="294">
        <v>0.513888888888889</v>
      </c>
      <c r="F105" s="295"/>
      <c r="G105" s="296">
        <f>IF(F105&lt;&gt;"",VLOOKUP($F105,'参加チーム'!$B$5:$F$73,3,FALSE),"")</f>
      </c>
      <c r="H105" s="297">
        <f>IF(I105&lt;&gt;"",I105+I106,"")</f>
      </c>
      <c r="I105" s="289"/>
      <c r="J105" s="298" t="s">
        <v>152</v>
      </c>
      <c r="K105" s="289"/>
      <c r="L105" s="297">
        <f>IF(K105&lt;&gt;"",K105+K106,"")</f>
      </c>
      <c r="M105" s="295"/>
      <c r="N105" s="296">
        <f>IF(M105&lt;&gt;"",VLOOKUP(M105,'参加チーム'!$B$5:$F$73,3,FALSE),"")</f>
      </c>
      <c r="O105" s="299">
        <f>+N105</f>
      </c>
      <c r="P105" s="292"/>
      <c r="R105" s="99" t="str">
        <f>+"後"&amp;F105&amp;M105</f>
        <v>後</v>
      </c>
      <c r="S105" s="90">
        <f>+H105</f>
      </c>
      <c r="T105" s="90">
        <f>+L105</f>
      </c>
      <c r="U105" s="100">
        <f>+B103</f>
        <v>40511</v>
      </c>
    </row>
    <row r="106" spans="1:21" ht="15.75" customHeight="1">
      <c r="A106" s="282"/>
      <c r="B106" s="283"/>
      <c r="C106" s="300" t="s">
        <v>150</v>
      </c>
      <c r="D106" s="285"/>
      <c r="E106" s="286"/>
      <c r="F106" s="287">
        <f>IF(F105&lt;&gt;"",LEFT(VLOOKUP(F105,'参加チーム'!$B$5:$F$73,5,FALSE),2),"")</f>
      </c>
      <c r="G106" s="288"/>
      <c r="H106" s="286"/>
      <c r="I106" s="289"/>
      <c r="J106" s="290"/>
      <c r="K106" s="289"/>
      <c r="L106" s="286"/>
      <c r="M106" s="287">
        <f>IF(M105&lt;&gt;"",LEFT(VLOOKUP(M105,'参加チーム'!$B$5:$F$73,5,FALSE),2),"")</f>
      </c>
      <c r="N106" s="288"/>
      <c r="O106" s="291"/>
      <c r="P106" s="292"/>
      <c r="R106" s="99" t="str">
        <f>+"後"&amp;M105&amp;F105</f>
        <v>後</v>
      </c>
      <c r="S106" s="90">
        <f>+L105</f>
      </c>
      <c r="T106" s="90">
        <f>+H105</f>
      </c>
      <c r="U106" s="100">
        <f>+B103</f>
        <v>40511</v>
      </c>
    </row>
    <row r="107" spans="1:21" ht="15.75" customHeight="1">
      <c r="A107" s="282"/>
      <c r="B107" s="283"/>
      <c r="C107" s="301"/>
      <c r="D107" s="297">
        <v>3</v>
      </c>
      <c r="E107" s="294">
        <v>0.5902777777777778</v>
      </c>
      <c r="F107" s="295"/>
      <c r="G107" s="296">
        <f>IF(F107&lt;&gt;"",VLOOKUP($F107,'参加チーム'!$B$5:$F$73,3,FALSE),"")</f>
      </c>
      <c r="H107" s="297">
        <f>IF(I107&lt;&gt;"",I107+I108,"")</f>
      </c>
      <c r="I107" s="289"/>
      <c r="J107" s="298" t="s">
        <v>152</v>
      </c>
      <c r="K107" s="289"/>
      <c r="L107" s="297">
        <f>IF(K107&lt;&gt;"",K107+K108,"")</f>
      </c>
      <c r="M107" s="295"/>
      <c r="N107" s="296">
        <f>IF(M107&lt;&gt;"",VLOOKUP(M107,'参加チーム'!$B$5:$F$73,3,FALSE),"")</f>
      </c>
      <c r="O107" s="299">
        <f>+N107</f>
      </c>
      <c r="P107" s="292"/>
      <c r="R107" s="99" t="str">
        <f>+"後"&amp;F107&amp;M107</f>
        <v>後</v>
      </c>
      <c r="S107" s="90">
        <f>+H107</f>
      </c>
      <c r="T107" s="90">
        <f>+L107</f>
      </c>
      <c r="U107" s="100">
        <f>+B103</f>
        <v>40511</v>
      </c>
    </row>
    <row r="108" spans="1:21" ht="15.75" customHeight="1">
      <c r="A108" s="282"/>
      <c r="B108" s="283"/>
      <c r="C108" s="301"/>
      <c r="D108" s="286"/>
      <c r="E108" s="286"/>
      <c r="F108" s="287">
        <f>IF(F107&lt;&gt;"",LEFT(VLOOKUP(F107,'参加チーム'!$B$5:$F$73,5,FALSE),2),"")</f>
      </c>
      <c r="G108" s="288"/>
      <c r="H108" s="286"/>
      <c r="I108" s="289"/>
      <c r="J108" s="290"/>
      <c r="K108" s="289"/>
      <c r="L108" s="286"/>
      <c r="M108" s="287">
        <f>IF(M107&lt;&gt;"",LEFT(VLOOKUP(M107,'参加チーム'!$B$5:$F$73,5,FALSE),2),"")</f>
      </c>
      <c r="N108" s="288"/>
      <c r="O108" s="291"/>
      <c r="P108" s="292"/>
      <c r="R108" s="99" t="str">
        <f>+"後"&amp;M107&amp;F107</f>
        <v>後</v>
      </c>
      <c r="S108" s="90">
        <f>+L107</f>
      </c>
      <c r="T108" s="90">
        <f>+H107</f>
      </c>
      <c r="U108" s="100">
        <f>+B103</f>
        <v>40511</v>
      </c>
    </row>
    <row r="109" spans="1:21" ht="15.75" customHeight="1">
      <c r="A109" s="282"/>
      <c r="B109" s="283"/>
      <c r="C109" s="301"/>
      <c r="D109" s="293">
        <v>4</v>
      </c>
      <c r="E109" s="294">
        <v>0.6666666666666666</v>
      </c>
      <c r="F109" s="295"/>
      <c r="G109" s="302">
        <f>IF(F109&lt;&gt;"",VLOOKUP($F109,'参加チーム'!$B$5:$F$73,3,FALSE),"")</f>
      </c>
      <c r="H109" s="297">
        <f>IF(I109&lt;&gt;"",I109+I110,"")</f>
      </c>
      <c r="I109" s="289"/>
      <c r="J109" s="298" t="s">
        <v>152</v>
      </c>
      <c r="K109" s="289"/>
      <c r="L109" s="297">
        <f>IF(K109&lt;&gt;"",K109+K110,"")</f>
      </c>
      <c r="M109" s="295"/>
      <c r="N109" s="302">
        <f>IF(M109&lt;&gt;"",VLOOKUP(M109,'参加チーム'!$B$5:$F$73,3,FALSE),"")</f>
      </c>
      <c r="O109" s="299">
        <f>+N109</f>
      </c>
      <c r="P109" s="292"/>
      <c r="R109" s="99" t="str">
        <f>+"後"&amp;F109&amp;M109</f>
        <v>後</v>
      </c>
      <c r="S109" s="90">
        <f>+H109</f>
      </c>
      <c r="T109" s="90">
        <f>+L109</f>
      </c>
      <c r="U109" s="100">
        <f>+B103</f>
        <v>40511</v>
      </c>
    </row>
    <row r="110" spans="1:21" ht="15.75" customHeight="1" thickBot="1">
      <c r="A110" s="303"/>
      <c r="B110" s="304"/>
      <c r="C110" s="305"/>
      <c r="D110" s="306"/>
      <c r="E110" s="307"/>
      <c r="F110" s="308">
        <f>IF(F109&lt;&gt;"",LEFT(VLOOKUP(F109,'参加チーム'!$B$5:$F$73,5,FALSE),2),"")</f>
      </c>
      <c r="G110" s="309"/>
      <c r="H110" s="307"/>
      <c r="I110" s="310"/>
      <c r="J110" s="311"/>
      <c r="K110" s="310"/>
      <c r="L110" s="307"/>
      <c r="M110" s="308">
        <f>IF(M109&lt;&gt;"",LEFT(VLOOKUP(M109,'参加チーム'!$B$5:$F$73,5,FALSE),2),"")</f>
      </c>
      <c r="N110" s="309"/>
      <c r="O110" s="312"/>
      <c r="P110" s="313"/>
      <c r="R110" s="102" t="str">
        <f>+"後"&amp;M109&amp;F109</f>
        <v>後</v>
      </c>
      <c r="S110" s="103">
        <f>+L109</f>
      </c>
      <c r="T110" s="103">
        <f>+H109</f>
      </c>
      <c r="U110" s="104">
        <f>+B103</f>
        <v>40511</v>
      </c>
    </row>
    <row r="111" spans="1:21" ht="15.75" customHeight="1">
      <c r="A111" s="270">
        <v>14</v>
      </c>
      <c r="B111" s="271">
        <v>40532</v>
      </c>
      <c r="C111" s="272" t="s">
        <v>81</v>
      </c>
      <c r="D111" s="273">
        <v>1</v>
      </c>
      <c r="E111" s="274">
        <v>0.4375</v>
      </c>
      <c r="F111" s="275"/>
      <c r="G111" s="276">
        <f>IF(F111&lt;&gt;"",VLOOKUP($F111,'参加チーム'!$B$5:$F$73,3,FALSE),"")</f>
      </c>
      <c r="H111" s="277">
        <f>IF(I111&lt;&gt;"",I111+I112,"")</f>
      </c>
      <c r="I111" s="278"/>
      <c r="J111" s="279" t="s">
        <v>80</v>
      </c>
      <c r="K111" s="278"/>
      <c r="L111" s="277">
        <f>IF(K111&lt;&gt;"",K111+K112,"")</f>
      </c>
      <c r="M111" s="275"/>
      <c r="N111" s="276">
        <f>IF(M111&lt;&gt;"",VLOOKUP(M111,'参加チーム'!$B$5:$F$73,3,FALSE),"")</f>
      </c>
      <c r="O111" s="280">
        <f>+N111</f>
      </c>
      <c r="P111" s="281">
        <f>+G113</f>
      </c>
      <c r="R111" s="96" t="str">
        <f>+"後"&amp;F111&amp;M111</f>
        <v>後</v>
      </c>
      <c r="S111" s="97">
        <f>IF(H111&lt;&gt;"",H111,"")</f>
      </c>
      <c r="T111" s="97">
        <f>IF(L111&lt;&gt;"",L111,"")</f>
      </c>
      <c r="U111" s="98">
        <f>+B111</f>
        <v>40532</v>
      </c>
    </row>
    <row r="112" spans="1:21" ht="15.75" customHeight="1">
      <c r="A112" s="282"/>
      <c r="B112" s="283"/>
      <c r="C112" s="284"/>
      <c r="D112" s="285"/>
      <c r="E112" s="286"/>
      <c r="F112" s="287">
        <f>IF(F111&lt;&gt;"",LEFT(VLOOKUP(F111,'参加チーム'!$B$5:$F$73,5,FALSE),2),"")</f>
      </c>
      <c r="G112" s="288"/>
      <c r="H112" s="286"/>
      <c r="I112" s="289"/>
      <c r="J112" s="290"/>
      <c r="K112" s="289"/>
      <c r="L112" s="286"/>
      <c r="M112" s="287">
        <f>IF(M111&lt;&gt;"",LEFT(VLOOKUP(M111,'参加チーム'!$B$5:$F$73,5,FALSE),2),"")</f>
      </c>
      <c r="N112" s="288"/>
      <c r="O112" s="291"/>
      <c r="P112" s="292"/>
      <c r="R112" s="99" t="str">
        <f>+"後"&amp;M111&amp;F111</f>
        <v>後</v>
      </c>
      <c r="S112" s="90">
        <f>IF(L111&lt;&gt;"",L111,"")</f>
      </c>
      <c r="T112" s="90">
        <f>IF(H111&lt;&gt;"",H111,"")</f>
      </c>
      <c r="U112" s="100">
        <f>+B111</f>
        <v>40532</v>
      </c>
    </row>
    <row r="113" spans="1:21" ht="15.75" customHeight="1">
      <c r="A113" s="282"/>
      <c r="B113" s="283"/>
      <c r="C113" s="284"/>
      <c r="D113" s="293">
        <v>2</v>
      </c>
      <c r="E113" s="294">
        <v>0.513888888888889</v>
      </c>
      <c r="F113" s="295"/>
      <c r="G113" s="296">
        <f>IF(F113&lt;&gt;"",VLOOKUP($F113,'参加チーム'!$B$5:$F$73,3,FALSE),"")</f>
      </c>
      <c r="H113" s="297">
        <f>IF(I113&lt;&gt;"",I113+I114,"")</f>
      </c>
      <c r="I113" s="289"/>
      <c r="J113" s="298" t="s">
        <v>152</v>
      </c>
      <c r="K113" s="289"/>
      <c r="L113" s="297">
        <f>IF(K113&lt;&gt;"",K113+K114,"")</f>
      </c>
      <c r="M113" s="295"/>
      <c r="N113" s="296">
        <f>IF(M113&lt;&gt;"",VLOOKUP(M113,'参加チーム'!$B$5:$F$73,3,FALSE),"")</f>
      </c>
      <c r="O113" s="299">
        <f>+N113</f>
      </c>
      <c r="P113" s="292"/>
      <c r="R113" s="99" t="str">
        <f>+"後"&amp;F113&amp;M113</f>
        <v>後</v>
      </c>
      <c r="S113" s="90">
        <f>+H113</f>
      </c>
      <c r="T113" s="90">
        <f>+L113</f>
      </c>
      <c r="U113" s="100">
        <f>+B111</f>
        <v>40532</v>
      </c>
    </row>
    <row r="114" spans="1:21" ht="15.75" customHeight="1">
      <c r="A114" s="282"/>
      <c r="B114" s="283"/>
      <c r="C114" s="300" t="s">
        <v>221</v>
      </c>
      <c r="D114" s="285"/>
      <c r="E114" s="286"/>
      <c r="F114" s="287">
        <f>IF(F113&lt;&gt;"",LEFT(VLOOKUP(F113,'参加チーム'!$B$5:$F$73,5,FALSE),2),"")</f>
      </c>
      <c r="G114" s="288"/>
      <c r="H114" s="286"/>
      <c r="I114" s="289"/>
      <c r="J114" s="290"/>
      <c r="K114" s="289"/>
      <c r="L114" s="286"/>
      <c r="M114" s="287">
        <f>IF(M113&lt;&gt;"",LEFT(VLOOKUP(M113,'参加チーム'!$B$5:$F$73,5,FALSE),2),"")</f>
      </c>
      <c r="N114" s="288"/>
      <c r="O114" s="291"/>
      <c r="P114" s="292"/>
      <c r="R114" s="99" t="str">
        <f>+"後"&amp;M113&amp;F113</f>
        <v>後</v>
      </c>
      <c r="S114" s="90">
        <f>+L113</f>
      </c>
      <c r="T114" s="90">
        <f>+H113</f>
      </c>
      <c r="U114" s="100">
        <f>+B111</f>
        <v>40532</v>
      </c>
    </row>
    <row r="115" spans="1:21" ht="15.75" customHeight="1">
      <c r="A115" s="282"/>
      <c r="B115" s="283"/>
      <c r="C115" s="301"/>
      <c r="D115" s="297">
        <v>3</v>
      </c>
      <c r="E115" s="294">
        <v>0.5902777777777778</v>
      </c>
      <c r="F115" s="295"/>
      <c r="G115" s="296">
        <f>IF(F115&lt;&gt;"",VLOOKUP($F115,'参加チーム'!$B$5:$F$73,3,FALSE),"")</f>
      </c>
      <c r="H115" s="297">
        <f>IF(I115&lt;&gt;"",I115+I116,"")</f>
      </c>
      <c r="I115" s="289"/>
      <c r="J115" s="298" t="s">
        <v>152</v>
      </c>
      <c r="K115" s="289"/>
      <c r="L115" s="297">
        <f>IF(K115&lt;&gt;"",K115+K116,"")</f>
      </c>
      <c r="M115" s="295"/>
      <c r="N115" s="296">
        <f>IF(M115&lt;&gt;"",VLOOKUP(M115,'参加チーム'!$B$5:$F$73,3,FALSE),"")</f>
      </c>
      <c r="O115" s="299">
        <f>+N115</f>
      </c>
      <c r="P115" s="292"/>
      <c r="R115" s="99" t="str">
        <f>+"後"&amp;F115&amp;M115</f>
        <v>後</v>
      </c>
      <c r="S115" s="90">
        <f>+H115</f>
      </c>
      <c r="T115" s="90">
        <f>+L115</f>
      </c>
      <c r="U115" s="100">
        <f>+B111</f>
        <v>40532</v>
      </c>
    </row>
    <row r="116" spans="1:21" ht="15.75" customHeight="1">
      <c r="A116" s="282"/>
      <c r="B116" s="283"/>
      <c r="C116" s="301"/>
      <c r="D116" s="286"/>
      <c r="E116" s="286"/>
      <c r="F116" s="287">
        <f>IF(F115&lt;&gt;"",LEFT(VLOOKUP(F115,'参加チーム'!$B$5:$F$73,5,FALSE),2),"")</f>
      </c>
      <c r="G116" s="288"/>
      <c r="H116" s="286"/>
      <c r="I116" s="289"/>
      <c r="J116" s="290"/>
      <c r="K116" s="289"/>
      <c r="L116" s="286"/>
      <c r="M116" s="287">
        <f>IF(M115&lt;&gt;"",LEFT(VLOOKUP(M115,'参加チーム'!$B$5:$F$73,5,FALSE),2),"")</f>
      </c>
      <c r="N116" s="288"/>
      <c r="O116" s="291"/>
      <c r="P116" s="292"/>
      <c r="R116" s="99" t="str">
        <f>+"後"&amp;M115&amp;F115</f>
        <v>後</v>
      </c>
      <c r="S116" s="90">
        <f>+L115</f>
      </c>
      <c r="T116" s="90">
        <f>+H115</f>
      </c>
      <c r="U116" s="100">
        <f>+B111</f>
        <v>40532</v>
      </c>
    </row>
    <row r="117" spans="1:21" ht="15.75" customHeight="1">
      <c r="A117" s="282"/>
      <c r="B117" s="283"/>
      <c r="C117" s="301"/>
      <c r="D117" s="293">
        <v>4</v>
      </c>
      <c r="E117" s="294">
        <v>0.6666666666666666</v>
      </c>
      <c r="F117" s="295"/>
      <c r="G117" s="302">
        <f>IF(F117&lt;&gt;"",VLOOKUP($F117,'参加チーム'!$B$5:$F$73,3,FALSE),"")</f>
      </c>
      <c r="H117" s="297">
        <f>IF(I117&lt;&gt;"",I117+I118,"")</f>
      </c>
      <c r="I117" s="289"/>
      <c r="J117" s="298" t="s">
        <v>152</v>
      </c>
      <c r="K117" s="289"/>
      <c r="L117" s="297">
        <f>IF(K117&lt;&gt;"",K117+K118,"")</f>
      </c>
      <c r="M117" s="295"/>
      <c r="N117" s="302">
        <f>IF(M117&lt;&gt;"",VLOOKUP(M117,'参加チーム'!$B$5:$F$73,3,FALSE),"")</f>
      </c>
      <c r="O117" s="299">
        <f>+N117</f>
      </c>
      <c r="P117" s="292"/>
      <c r="R117" s="99" t="str">
        <f>+"後"&amp;F117&amp;M117</f>
        <v>後</v>
      </c>
      <c r="S117" s="90">
        <f>+H117</f>
      </c>
      <c r="T117" s="90">
        <f>+L117</f>
      </c>
      <c r="U117" s="100">
        <f>+B111</f>
        <v>40532</v>
      </c>
    </row>
    <row r="118" spans="1:21" ht="15.75" customHeight="1" thickBot="1">
      <c r="A118" s="303"/>
      <c r="B118" s="304"/>
      <c r="C118" s="305"/>
      <c r="D118" s="306"/>
      <c r="E118" s="307"/>
      <c r="F118" s="308">
        <f>IF(F117&lt;&gt;"",LEFT(VLOOKUP(F117,'参加チーム'!$B$5:$F$73,5,FALSE),2),"")</f>
      </c>
      <c r="G118" s="309"/>
      <c r="H118" s="307"/>
      <c r="I118" s="310"/>
      <c r="J118" s="311"/>
      <c r="K118" s="310"/>
      <c r="L118" s="307"/>
      <c r="M118" s="308">
        <f>IF(M117&lt;&gt;"",LEFT(VLOOKUP(M117,'参加チーム'!$B$5:$F$73,5,FALSE),2),"")</f>
      </c>
      <c r="N118" s="309"/>
      <c r="O118" s="312"/>
      <c r="P118" s="313"/>
      <c r="R118" s="102" t="str">
        <f>+"後"&amp;M117&amp;F117</f>
        <v>後</v>
      </c>
      <c r="S118" s="103">
        <f>+L117</f>
      </c>
      <c r="T118" s="103">
        <f>+H117</f>
      </c>
      <c r="U118" s="104">
        <f>+B111</f>
        <v>40532</v>
      </c>
    </row>
    <row r="119" spans="1:16" ht="15.75" customHeight="1">
      <c r="A119" s="262"/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</row>
  </sheetData>
  <sheetProtection/>
  <mergeCells count="520">
    <mergeCell ref="O10:O11"/>
    <mergeCell ref="G4:G5"/>
    <mergeCell ref="E4:E5"/>
    <mergeCell ref="H3:L3"/>
    <mergeCell ref="H4:H5"/>
    <mergeCell ref="J4:J5"/>
    <mergeCell ref="L4:L5"/>
    <mergeCell ref="N8:N9"/>
    <mergeCell ref="N6:N7"/>
    <mergeCell ref="N4:N5"/>
    <mergeCell ref="D4:D5"/>
    <mergeCell ref="D6:D7"/>
    <mergeCell ref="E6:E7"/>
    <mergeCell ref="C4:C6"/>
    <mergeCell ref="C7:C11"/>
    <mergeCell ref="D10:D11"/>
    <mergeCell ref="E10:E11"/>
    <mergeCell ref="O4:O5"/>
    <mergeCell ref="O6:O7"/>
    <mergeCell ref="G10:G11"/>
    <mergeCell ref="H10:H11"/>
    <mergeCell ref="J10:J11"/>
    <mergeCell ref="L10:L11"/>
    <mergeCell ref="N10:N11"/>
    <mergeCell ref="G6:G7"/>
    <mergeCell ref="H6:H7"/>
    <mergeCell ref="J6:J7"/>
    <mergeCell ref="E12:E13"/>
    <mergeCell ref="G12:G13"/>
    <mergeCell ref="E14:E15"/>
    <mergeCell ref="G14:G15"/>
    <mergeCell ref="L6:L7"/>
    <mergeCell ref="G18:G19"/>
    <mergeCell ref="H12:H13"/>
    <mergeCell ref="H14:H15"/>
    <mergeCell ref="J14:J15"/>
    <mergeCell ref="H18:H19"/>
    <mergeCell ref="B4:B11"/>
    <mergeCell ref="A4:A11"/>
    <mergeCell ref="P4:P11"/>
    <mergeCell ref="D8:D9"/>
    <mergeCell ref="E8:E9"/>
    <mergeCell ref="G8:G9"/>
    <mergeCell ref="H8:H9"/>
    <mergeCell ref="L8:L9"/>
    <mergeCell ref="J8:J9"/>
    <mergeCell ref="O8:O9"/>
    <mergeCell ref="A12:A19"/>
    <mergeCell ref="B12:B19"/>
    <mergeCell ref="C12:C14"/>
    <mergeCell ref="D12:D13"/>
    <mergeCell ref="C15:C19"/>
    <mergeCell ref="D18:D19"/>
    <mergeCell ref="D14:D15"/>
    <mergeCell ref="D16:D17"/>
    <mergeCell ref="A20:A27"/>
    <mergeCell ref="B20:B27"/>
    <mergeCell ref="C20:C22"/>
    <mergeCell ref="D20:D21"/>
    <mergeCell ref="D22:D23"/>
    <mergeCell ref="O18:O19"/>
    <mergeCell ref="J18:J19"/>
    <mergeCell ref="L18:L19"/>
    <mergeCell ref="H22:H23"/>
    <mergeCell ref="H26:H27"/>
    <mergeCell ref="P12:P19"/>
    <mergeCell ref="O16:O17"/>
    <mergeCell ref="C23:C27"/>
    <mergeCell ref="L14:L15"/>
    <mergeCell ref="N14:N15"/>
    <mergeCell ref="O14:O15"/>
    <mergeCell ref="E20:E21"/>
    <mergeCell ref="G20:G21"/>
    <mergeCell ref="H20:H21"/>
    <mergeCell ref="G22:G23"/>
    <mergeCell ref="P20:P27"/>
    <mergeCell ref="L22:L23"/>
    <mergeCell ref="N22:N23"/>
    <mergeCell ref="O22:O23"/>
    <mergeCell ref="L26:L27"/>
    <mergeCell ref="N26:N27"/>
    <mergeCell ref="L24:L25"/>
    <mergeCell ref="N24:N25"/>
    <mergeCell ref="O24:O25"/>
    <mergeCell ref="O20:O21"/>
    <mergeCell ref="D26:D27"/>
    <mergeCell ref="D24:D25"/>
    <mergeCell ref="O26:O27"/>
    <mergeCell ref="G24:G25"/>
    <mergeCell ref="H24:H25"/>
    <mergeCell ref="E26:E27"/>
    <mergeCell ref="G26:G27"/>
    <mergeCell ref="E24:E25"/>
    <mergeCell ref="A28:A35"/>
    <mergeCell ref="B28:B35"/>
    <mergeCell ref="C28:C30"/>
    <mergeCell ref="D28:D29"/>
    <mergeCell ref="D30:D31"/>
    <mergeCell ref="C31:C35"/>
    <mergeCell ref="D34:D35"/>
    <mergeCell ref="D32:D33"/>
    <mergeCell ref="G28:G29"/>
    <mergeCell ref="O28:O29"/>
    <mergeCell ref="P28:P35"/>
    <mergeCell ref="L30:L31"/>
    <mergeCell ref="N30:N31"/>
    <mergeCell ref="O30:O31"/>
    <mergeCell ref="L34:L35"/>
    <mergeCell ref="O34:O35"/>
    <mergeCell ref="J30:J31"/>
    <mergeCell ref="G30:G31"/>
    <mergeCell ref="O32:O33"/>
    <mergeCell ref="L28:L29"/>
    <mergeCell ref="L32:L33"/>
    <mergeCell ref="A52:A59"/>
    <mergeCell ref="B52:B59"/>
    <mergeCell ref="C52:C54"/>
    <mergeCell ref="D52:D53"/>
    <mergeCell ref="D54:D55"/>
    <mergeCell ref="C55:C59"/>
    <mergeCell ref="D58:D59"/>
    <mergeCell ref="H52:H53"/>
    <mergeCell ref="G32:G33"/>
    <mergeCell ref="H32:H33"/>
    <mergeCell ref="H48:H49"/>
    <mergeCell ref="N56:N57"/>
    <mergeCell ref="E52:E53"/>
    <mergeCell ref="E34:E35"/>
    <mergeCell ref="G34:G35"/>
    <mergeCell ref="G36:G37"/>
    <mergeCell ref="G52:G53"/>
    <mergeCell ref="J52:J53"/>
    <mergeCell ref="L52:L53"/>
    <mergeCell ref="G54:G55"/>
    <mergeCell ref="H54:H55"/>
    <mergeCell ref="G58:G59"/>
    <mergeCell ref="N52:N53"/>
    <mergeCell ref="J54:J55"/>
    <mergeCell ref="J56:J57"/>
    <mergeCell ref="G56:G57"/>
    <mergeCell ref="H56:H57"/>
    <mergeCell ref="O52:O53"/>
    <mergeCell ref="P52:P59"/>
    <mergeCell ref="L54:L55"/>
    <mergeCell ref="N54:N55"/>
    <mergeCell ref="O54:O55"/>
    <mergeCell ref="L58:L59"/>
    <mergeCell ref="N58:N59"/>
    <mergeCell ref="O58:O59"/>
    <mergeCell ref="A63:A70"/>
    <mergeCell ref="B63:B70"/>
    <mergeCell ref="C63:C65"/>
    <mergeCell ref="D63:D64"/>
    <mergeCell ref="C66:C70"/>
    <mergeCell ref="D69:D70"/>
    <mergeCell ref="P63:P70"/>
    <mergeCell ref="N65:N66"/>
    <mergeCell ref="N69:N70"/>
    <mergeCell ref="O65:O66"/>
    <mergeCell ref="G65:G66"/>
    <mergeCell ref="G67:G68"/>
    <mergeCell ref="O69:O70"/>
    <mergeCell ref="N63:N64"/>
    <mergeCell ref="O63:O64"/>
    <mergeCell ref="G63:G64"/>
    <mergeCell ref="H63:H64"/>
    <mergeCell ref="J63:J64"/>
    <mergeCell ref="L63:L64"/>
    <mergeCell ref="A71:A78"/>
    <mergeCell ref="B71:B78"/>
    <mergeCell ref="C71:C73"/>
    <mergeCell ref="D71:D72"/>
    <mergeCell ref="D73:D74"/>
    <mergeCell ref="C74:C78"/>
    <mergeCell ref="D77:D78"/>
    <mergeCell ref="D75:D76"/>
    <mergeCell ref="P71:P78"/>
    <mergeCell ref="L73:L74"/>
    <mergeCell ref="N73:N74"/>
    <mergeCell ref="O73:O74"/>
    <mergeCell ref="L77:L78"/>
    <mergeCell ref="N77:N78"/>
    <mergeCell ref="O77:O78"/>
    <mergeCell ref="L71:L72"/>
    <mergeCell ref="N71:N72"/>
    <mergeCell ref="O71:O72"/>
    <mergeCell ref="B79:B86"/>
    <mergeCell ref="C79:C81"/>
    <mergeCell ref="D79:D80"/>
    <mergeCell ref="D81:D82"/>
    <mergeCell ref="D85:D86"/>
    <mergeCell ref="D83:D84"/>
    <mergeCell ref="C82:C86"/>
    <mergeCell ref="E79:E80"/>
    <mergeCell ref="H79:H80"/>
    <mergeCell ref="P79:P86"/>
    <mergeCell ref="L81:L82"/>
    <mergeCell ref="N81:N82"/>
    <mergeCell ref="O81:O82"/>
    <mergeCell ref="L85:L86"/>
    <mergeCell ref="N85:N86"/>
    <mergeCell ref="O85:O86"/>
    <mergeCell ref="O79:O80"/>
    <mergeCell ref="O83:O84"/>
    <mergeCell ref="L79:L80"/>
    <mergeCell ref="E87:E88"/>
    <mergeCell ref="E85:E86"/>
    <mergeCell ref="G85:G86"/>
    <mergeCell ref="H85:H86"/>
    <mergeCell ref="E81:E82"/>
    <mergeCell ref="G81:G82"/>
    <mergeCell ref="H81:H82"/>
    <mergeCell ref="E83:E84"/>
    <mergeCell ref="G83:G84"/>
    <mergeCell ref="A87:A94"/>
    <mergeCell ref="B87:B94"/>
    <mergeCell ref="C87:C89"/>
    <mergeCell ref="D87:D88"/>
    <mergeCell ref="D89:D90"/>
    <mergeCell ref="C90:C94"/>
    <mergeCell ref="D93:D94"/>
    <mergeCell ref="A79:A86"/>
    <mergeCell ref="O87:O88"/>
    <mergeCell ref="P87:P94"/>
    <mergeCell ref="L89:L90"/>
    <mergeCell ref="N89:N90"/>
    <mergeCell ref="O89:O90"/>
    <mergeCell ref="L93:L94"/>
    <mergeCell ref="N93:N94"/>
    <mergeCell ref="O93:O94"/>
    <mergeCell ref="O91:O92"/>
    <mergeCell ref="L91:L92"/>
    <mergeCell ref="E117:E118"/>
    <mergeCell ref="G117:G118"/>
    <mergeCell ref="E103:E104"/>
    <mergeCell ref="E95:E96"/>
    <mergeCell ref="G95:G96"/>
    <mergeCell ref="G109:G110"/>
    <mergeCell ref="G107:G108"/>
    <mergeCell ref="E99:E100"/>
    <mergeCell ref="G103:G104"/>
    <mergeCell ref="E101:E102"/>
    <mergeCell ref="J111:J112"/>
    <mergeCell ref="E109:E110"/>
    <mergeCell ref="E105:E106"/>
    <mergeCell ref="E93:E94"/>
    <mergeCell ref="G93:G94"/>
    <mergeCell ref="G105:G106"/>
    <mergeCell ref="E111:E112"/>
    <mergeCell ref="G111:G112"/>
    <mergeCell ref="H111:H112"/>
    <mergeCell ref="E107:E108"/>
    <mergeCell ref="A111:A118"/>
    <mergeCell ref="B111:B118"/>
    <mergeCell ref="C111:C113"/>
    <mergeCell ref="D111:D112"/>
    <mergeCell ref="D113:D114"/>
    <mergeCell ref="C114:C118"/>
    <mergeCell ref="D117:D118"/>
    <mergeCell ref="D115:D116"/>
    <mergeCell ref="P111:P118"/>
    <mergeCell ref="L113:L114"/>
    <mergeCell ref="N113:N114"/>
    <mergeCell ref="O113:O114"/>
    <mergeCell ref="L117:L118"/>
    <mergeCell ref="N117:N118"/>
    <mergeCell ref="O117:O118"/>
    <mergeCell ref="L115:L116"/>
    <mergeCell ref="N115:N116"/>
    <mergeCell ref="L111:L112"/>
    <mergeCell ref="H117:H118"/>
    <mergeCell ref="J117:J118"/>
    <mergeCell ref="E113:E114"/>
    <mergeCell ref="G113:G114"/>
    <mergeCell ref="H113:H114"/>
    <mergeCell ref="J113:J114"/>
    <mergeCell ref="E115:E116"/>
    <mergeCell ref="G115:G116"/>
    <mergeCell ref="H115:H116"/>
    <mergeCell ref="J115:J116"/>
    <mergeCell ref="A36:A43"/>
    <mergeCell ref="A44:A51"/>
    <mergeCell ref="B36:B43"/>
    <mergeCell ref="C36:C38"/>
    <mergeCell ref="B44:B51"/>
    <mergeCell ref="C44:C46"/>
    <mergeCell ref="C47:C51"/>
    <mergeCell ref="D36:D37"/>
    <mergeCell ref="E36:E37"/>
    <mergeCell ref="C39:C43"/>
    <mergeCell ref="E42:E43"/>
    <mergeCell ref="D42:D43"/>
    <mergeCell ref="D38:D39"/>
    <mergeCell ref="E38:E39"/>
    <mergeCell ref="D40:D41"/>
    <mergeCell ref="E40:E41"/>
    <mergeCell ref="N42:N43"/>
    <mergeCell ref="D44:D45"/>
    <mergeCell ref="E44:E45"/>
    <mergeCell ref="G44:G45"/>
    <mergeCell ref="H44:H45"/>
    <mergeCell ref="G42:G43"/>
    <mergeCell ref="H42:H43"/>
    <mergeCell ref="P36:P43"/>
    <mergeCell ref="G38:G39"/>
    <mergeCell ref="H38:H39"/>
    <mergeCell ref="J38:J39"/>
    <mergeCell ref="G40:G41"/>
    <mergeCell ref="H40:H41"/>
    <mergeCell ref="J36:J37"/>
    <mergeCell ref="J42:J43"/>
    <mergeCell ref="H36:H37"/>
    <mergeCell ref="J40:J41"/>
    <mergeCell ref="P44:P51"/>
    <mergeCell ref="D46:D47"/>
    <mergeCell ref="E46:E47"/>
    <mergeCell ref="G46:G47"/>
    <mergeCell ref="H46:H47"/>
    <mergeCell ref="J46:J47"/>
    <mergeCell ref="L46:L47"/>
    <mergeCell ref="N46:N47"/>
    <mergeCell ref="O46:O47"/>
    <mergeCell ref="H50:H51"/>
    <mergeCell ref="A95:A102"/>
    <mergeCell ref="B95:B102"/>
    <mergeCell ref="C95:C97"/>
    <mergeCell ref="D95:D96"/>
    <mergeCell ref="D99:D100"/>
    <mergeCell ref="C98:C102"/>
    <mergeCell ref="D101:D102"/>
    <mergeCell ref="D97:D98"/>
    <mergeCell ref="P95:P102"/>
    <mergeCell ref="H97:H98"/>
    <mergeCell ref="J97:J98"/>
    <mergeCell ref="L97:L98"/>
    <mergeCell ref="N97:N98"/>
    <mergeCell ref="O97:O98"/>
    <mergeCell ref="L101:L102"/>
    <mergeCell ref="N101:N102"/>
    <mergeCell ref="H101:H102"/>
    <mergeCell ref="H99:H100"/>
    <mergeCell ref="A103:A110"/>
    <mergeCell ref="B103:B110"/>
    <mergeCell ref="C103:C105"/>
    <mergeCell ref="D103:D104"/>
    <mergeCell ref="C106:C110"/>
    <mergeCell ref="D109:D110"/>
    <mergeCell ref="D105:D106"/>
    <mergeCell ref="D107:D108"/>
    <mergeCell ref="P103:P110"/>
    <mergeCell ref="H105:H106"/>
    <mergeCell ref="J105:J106"/>
    <mergeCell ref="L105:L106"/>
    <mergeCell ref="N105:N106"/>
    <mergeCell ref="O107:O108"/>
    <mergeCell ref="H103:H104"/>
    <mergeCell ref="J103:J104"/>
    <mergeCell ref="N103:N104"/>
    <mergeCell ref="O103:O104"/>
    <mergeCell ref="O12:O13"/>
    <mergeCell ref="L95:L96"/>
    <mergeCell ref="N95:N96"/>
    <mergeCell ref="O50:O51"/>
    <mergeCell ref="N34:N35"/>
    <mergeCell ref="O40:O41"/>
    <mergeCell ref="L48:L49"/>
    <mergeCell ref="N48:N49"/>
    <mergeCell ref="O48:O49"/>
    <mergeCell ref="L50:L51"/>
    <mergeCell ref="N32:N33"/>
    <mergeCell ref="N50:N51"/>
    <mergeCell ref="L40:L41"/>
    <mergeCell ref="N40:N41"/>
    <mergeCell ref="L38:L39"/>
    <mergeCell ref="N38:N39"/>
    <mergeCell ref="L44:L45"/>
    <mergeCell ref="N44:N45"/>
    <mergeCell ref="N36:N37"/>
    <mergeCell ref="L36:L37"/>
    <mergeCell ref="J32:J33"/>
    <mergeCell ref="J34:J35"/>
    <mergeCell ref="H34:H35"/>
    <mergeCell ref="J20:J21"/>
    <mergeCell ref="E32:E33"/>
    <mergeCell ref="H28:H29"/>
    <mergeCell ref="J28:J29"/>
    <mergeCell ref="E30:E31"/>
    <mergeCell ref="H30:H31"/>
    <mergeCell ref="E28:E29"/>
    <mergeCell ref="E16:E17"/>
    <mergeCell ref="G16:G17"/>
    <mergeCell ref="H16:H17"/>
    <mergeCell ref="J16:J17"/>
    <mergeCell ref="O44:O45"/>
    <mergeCell ref="O38:O39"/>
    <mergeCell ref="O36:O37"/>
    <mergeCell ref="O42:O43"/>
    <mergeCell ref="E22:E23"/>
    <mergeCell ref="E18:E19"/>
    <mergeCell ref="J12:J13"/>
    <mergeCell ref="L12:L13"/>
    <mergeCell ref="J24:J25"/>
    <mergeCell ref="J26:J27"/>
    <mergeCell ref="L20:L21"/>
    <mergeCell ref="J22:J23"/>
    <mergeCell ref="N12:N13"/>
    <mergeCell ref="L16:L17"/>
    <mergeCell ref="N16:N17"/>
    <mergeCell ref="N28:N29"/>
    <mergeCell ref="N20:N21"/>
    <mergeCell ref="N18:N19"/>
    <mergeCell ref="J48:J49"/>
    <mergeCell ref="J44:J45"/>
    <mergeCell ref="L42:L43"/>
    <mergeCell ref="D50:D51"/>
    <mergeCell ref="J50:J51"/>
    <mergeCell ref="D48:D49"/>
    <mergeCell ref="E48:E49"/>
    <mergeCell ref="G48:G49"/>
    <mergeCell ref="E50:E51"/>
    <mergeCell ref="G50:G51"/>
    <mergeCell ref="E54:E55"/>
    <mergeCell ref="D67:D68"/>
    <mergeCell ref="E67:E68"/>
    <mergeCell ref="D56:D57"/>
    <mergeCell ref="E56:E57"/>
    <mergeCell ref="E58:E59"/>
    <mergeCell ref="E63:E64"/>
    <mergeCell ref="D65:D66"/>
    <mergeCell ref="E65:E66"/>
    <mergeCell ref="J79:J80"/>
    <mergeCell ref="E77:E78"/>
    <mergeCell ref="G77:G78"/>
    <mergeCell ref="G79:G80"/>
    <mergeCell ref="O75:O76"/>
    <mergeCell ref="H73:H74"/>
    <mergeCell ref="E75:E76"/>
    <mergeCell ref="G75:G76"/>
    <mergeCell ref="H75:H76"/>
    <mergeCell ref="J75:J76"/>
    <mergeCell ref="L75:L76"/>
    <mergeCell ref="E73:E74"/>
    <mergeCell ref="G73:G74"/>
    <mergeCell ref="N75:N76"/>
    <mergeCell ref="O56:O57"/>
    <mergeCell ref="H67:H68"/>
    <mergeCell ref="J67:J68"/>
    <mergeCell ref="L67:L68"/>
    <mergeCell ref="N67:N68"/>
    <mergeCell ref="O67:O68"/>
    <mergeCell ref="H62:L62"/>
    <mergeCell ref="H58:H59"/>
    <mergeCell ref="J58:J59"/>
    <mergeCell ref="L56:L57"/>
    <mergeCell ref="E71:E72"/>
    <mergeCell ref="G71:G72"/>
    <mergeCell ref="H69:H70"/>
    <mergeCell ref="J69:J70"/>
    <mergeCell ref="E69:E70"/>
    <mergeCell ref="G69:G70"/>
    <mergeCell ref="L69:L70"/>
    <mergeCell ref="H65:H66"/>
    <mergeCell ref="J65:J66"/>
    <mergeCell ref="L65:L66"/>
    <mergeCell ref="J73:J74"/>
    <mergeCell ref="N83:N84"/>
    <mergeCell ref="H71:H72"/>
    <mergeCell ref="J71:J72"/>
    <mergeCell ref="L83:L84"/>
    <mergeCell ref="N79:N80"/>
    <mergeCell ref="H77:H78"/>
    <mergeCell ref="J77:J78"/>
    <mergeCell ref="J81:J82"/>
    <mergeCell ref="D91:D92"/>
    <mergeCell ref="E91:E92"/>
    <mergeCell ref="G91:G92"/>
    <mergeCell ref="H91:H92"/>
    <mergeCell ref="J85:J86"/>
    <mergeCell ref="H83:H84"/>
    <mergeCell ref="J83:J84"/>
    <mergeCell ref="H89:H90"/>
    <mergeCell ref="J95:J96"/>
    <mergeCell ref="J91:J92"/>
    <mergeCell ref="G101:G102"/>
    <mergeCell ref="H93:H94"/>
    <mergeCell ref="J93:J94"/>
    <mergeCell ref="J101:J102"/>
    <mergeCell ref="G99:G100"/>
    <mergeCell ref="E97:E98"/>
    <mergeCell ref="G97:G98"/>
    <mergeCell ref="E89:E90"/>
    <mergeCell ref="J89:J90"/>
    <mergeCell ref="G89:G90"/>
    <mergeCell ref="N87:N88"/>
    <mergeCell ref="G87:G88"/>
    <mergeCell ref="H87:H88"/>
    <mergeCell ref="J87:J88"/>
    <mergeCell ref="L87:L88"/>
    <mergeCell ref="H109:H110"/>
    <mergeCell ref="J109:J110"/>
    <mergeCell ref="L109:L110"/>
    <mergeCell ref="L107:L108"/>
    <mergeCell ref="H107:H108"/>
    <mergeCell ref="J107:J108"/>
    <mergeCell ref="N109:N110"/>
    <mergeCell ref="O109:O110"/>
    <mergeCell ref="N91:N92"/>
    <mergeCell ref="O115:O116"/>
    <mergeCell ref="N111:N112"/>
    <mergeCell ref="O111:O112"/>
    <mergeCell ref="N107:N108"/>
    <mergeCell ref="N99:N100"/>
    <mergeCell ref="O95:O96"/>
    <mergeCell ref="O99:O100"/>
    <mergeCell ref="O105:O106"/>
    <mergeCell ref="O101:O102"/>
    <mergeCell ref="H95:H96"/>
    <mergeCell ref="L99:L100"/>
    <mergeCell ref="L103:L104"/>
    <mergeCell ref="J99:J100"/>
  </mergeCells>
  <printOptions horizontalCentered="1"/>
  <pageMargins left="0.3937007874015748" right="0.3937007874015748" top="0.7874015748031497" bottom="0.3937007874015748" header="0.1968503937007874" footer="0.1968503937007874"/>
  <pageSetup fitToHeight="0" orientation="portrait" paperSize="9" scale="70" r:id="rId3"/>
  <rowBreaks count="1" manualBreakCount="1">
    <brk id="60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BB38"/>
  <sheetViews>
    <sheetView view="pageBreakPreview" zoomScale="55" zoomScaleNormal="60" zoomScaleSheetLayoutView="55" zoomScalePageLayoutView="0" workbookViewId="0" topLeftCell="A1">
      <selection activeCell="AC14" sqref="AC14"/>
    </sheetView>
  </sheetViews>
  <sheetFormatPr defaultColWidth="8.59765625" defaultRowHeight="15"/>
  <cols>
    <col min="1" max="1" width="1.59765625" style="0" customWidth="1"/>
    <col min="2" max="2" width="16.59765625" style="0" customWidth="1"/>
    <col min="3" max="32" width="3.59765625" style="0" customWidth="1"/>
    <col min="33" max="35" width="5.59765625" style="0" customWidth="1"/>
    <col min="36" max="36" width="6.59765625" style="0" customWidth="1"/>
    <col min="37" max="38" width="5.59765625" style="0" hidden="1" customWidth="1"/>
    <col min="39" max="40" width="6.59765625" style="0" customWidth="1"/>
    <col min="41" max="41" width="3.5" style="0" customWidth="1"/>
    <col min="42" max="42" width="8.59765625" style="0" customWidth="1"/>
    <col min="43" max="43" width="2.5" style="0" customWidth="1"/>
    <col min="44" max="47" width="4.59765625" style="0" hidden="1" customWidth="1"/>
    <col min="48" max="49" width="7.69921875" style="0" hidden="1" customWidth="1"/>
    <col min="50" max="50" width="4.59765625" style="0" hidden="1" customWidth="1"/>
    <col min="51" max="54" width="3.69921875" style="0" hidden="1" customWidth="1"/>
    <col min="55" max="55" width="3.69921875" style="0" customWidth="1"/>
  </cols>
  <sheetData>
    <row r="1" spans="2:40" ht="24">
      <c r="B1" s="25" t="s">
        <v>254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3" spans="5:40" ht="18.75" customHeight="1" thickBot="1">
      <c r="E3" s="4" t="s">
        <v>77</v>
      </c>
      <c r="AG3" s="67">
        <f>+'１部'!$AQ$3</f>
        <v>1</v>
      </c>
      <c r="AH3" s="68" t="str">
        <f>IF(AG3=1,"略称表示","日本語略称表示")&amp;"（１部成績表から）"</f>
        <v>略称表示（１部成績表から）</v>
      </c>
      <c r="AI3" s="69"/>
      <c r="AJ3" s="69"/>
      <c r="AK3" s="69"/>
      <c r="AL3" s="69"/>
      <c r="AM3" s="69"/>
      <c r="AN3" s="69"/>
    </row>
    <row r="4" spans="2:43" ht="29.25" customHeight="1" thickBot="1">
      <c r="B4" s="364"/>
      <c r="C4" s="365" t="str">
        <f>+B6</f>
        <v>Itatica</v>
      </c>
      <c r="D4" s="366"/>
      <c r="E4" s="366"/>
      <c r="F4" s="366"/>
      <c r="G4" s="367"/>
      <c r="H4" s="368" t="str">
        <f>+B10</f>
        <v>ヴィヴァーレ</v>
      </c>
      <c r="I4" s="366"/>
      <c r="J4" s="366"/>
      <c r="K4" s="366"/>
      <c r="L4" s="367"/>
      <c r="M4" s="368" t="str">
        <f>+B14</f>
        <v>Carioca</v>
      </c>
      <c r="N4" s="366"/>
      <c r="O4" s="366"/>
      <c r="P4" s="366"/>
      <c r="Q4" s="367"/>
      <c r="R4" s="368" t="str">
        <f>+B18</f>
        <v>ステラミーゴ</v>
      </c>
      <c r="S4" s="366"/>
      <c r="T4" s="366"/>
      <c r="U4" s="366"/>
      <c r="V4" s="367"/>
      <c r="W4" s="368" t="str">
        <f>+B22</f>
        <v>Rion</v>
      </c>
      <c r="X4" s="366"/>
      <c r="Y4" s="366"/>
      <c r="Z4" s="366"/>
      <c r="AA4" s="367"/>
      <c r="AB4" s="368" t="str">
        <f>+B26</f>
        <v>PIETRA</v>
      </c>
      <c r="AC4" s="366"/>
      <c r="AD4" s="366"/>
      <c r="AE4" s="366"/>
      <c r="AF4" s="367"/>
      <c r="AG4" s="369" t="s">
        <v>69</v>
      </c>
      <c r="AH4" s="370" t="s">
        <v>70</v>
      </c>
      <c r="AI4" s="370" t="s">
        <v>71</v>
      </c>
      <c r="AJ4" s="371" t="s">
        <v>72</v>
      </c>
      <c r="AK4" s="372" t="s">
        <v>73</v>
      </c>
      <c r="AL4" s="373" t="s">
        <v>74</v>
      </c>
      <c r="AM4" s="374" t="s">
        <v>75</v>
      </c>
      <c r="AN4" s="375" t="s">
        <v>76</v>
      </c>
      <c r="AP4" s="43" t="s">
        <v>111</v>
      </c>
      <c r="AQ4" s="50"/>
    </row>
    <row r="5" spans="2:54" ht="24" customHeight="1" thickBot="1">
      <c r="B5" s="66" t="s">
        <v>1</v>
      </c>
      <c r="C5" s="388"/>
      <c r="D5" s="388"/>
      <c r="E5" s="388"/>
      <c r="F5" s="388"/>
      <c r="G5" s="388"/>
      <c r="H5" s="389">
        <v>40371</v>
      </c>
      <c r="I5" s="390"/>
      <c r="J5" s="390"/>
      <c r="K5" s="390"/>
      <c r="L5" s="391"/>
      <c r="M5" s="389">
        <v>40357</v>
      </c>
      <c r="N5" s="390"/>
      <c r="O5" s="390"/>
      <c r="P5" s="390"/>
      <c r="Q5" s="391"/>
      <c r="R5" s="389">
        <f>VLOOKUP("前"&amp;$B5&amp;T$31,'２部北対戦表'!$R$1:$U$89,4,FALSE)</f>
        <v>40343</v>
      </c>
      <c r="S5" s="390"/>
      <c r="T5" s="390"/>
      <c r="U5" s="390"/>
      <c r="V5" s="391"/>
      <c r="W5" s="389">
        <f>VLOOKUP("前"&amp;$B5&amp;Y$31,'２部北対戦表'!$R$1:$U$89,4,FALSE)</f>
        <v>40336</v>
      </c>
      <c r="X5" s="390"/>
      <c r="Y5" s="390"/>
      <c r="Z5" s="390"/>
      <c r="AA5" s="391"/>
      <c r="AB5" s="389">
        <f>VLOOKUP("前"&amp;$B5&amp;AD$31,'２部北対戦表'!$R$1:$U$89,4,FALSE)</f>
        <v>40315</v>
      </c>
      <c r="AC5" s="390"/>
      <c r="AD5" s="390"/>
      <c r="AE5" s="390"/>
      <c r="AF5" s="392"/>
      <c r="AG5" s="385">
        <f>IF(AND($AR6=0,$AS6=0,$AT6=0),"",AR6)</f>
      </c>
      <c r="AH5" s="378">
        <f>IF(AND($AR6=0,$AS6=0,$AT6=0),"",AS6)</f>
      </c>
      <c r="AI5" s="378">
        <f>IF(AND($AR6=0,$AS6=0,$AT6=0),"",AT6)</f>
      </c>
      <c r="AJ5" s="379">
        <f>IF(AND($AR6=0,$AS6=0,$AT6=0),"",AU6+AP6)</f>
      </c>
      <c r="AK5" s="257">
        <f>IF(AND($AR6=0,$AS6=0,$AT6=0),"",AR8)</f>
      </c>
      <c r="AL5" s="257">
        <f>IF(AND($AR6=0,$AS6=0,$AT6=0),"",AS8)</f>
      </c>
      <c r="AM5" s="257">
        <f>IF(AND($AR6=0,$AS6=0,$AT6=0),"",AT8)</f>
      </c>
      <c r="AN5" s="380">
        <f>IF(AND($AR6=0,$AS6=0,$AT6=0),"",RANK(AW7,AW$7:AW$20))</f>
      </c>
      <c r="AR5" s="57" t="s">
        <v>86</v>
      </c>
      <c r="AS5" s="57" t="s">
        <v>87</v>
      </c>
      <c r="AT5" s="57" t="s">
        <v>88</v>
      </c>
      <c r="AU5" s="57" t="s">
        <v>89</v>
      </c>
      <c r="AV5" s="20"/>
      <c r="AW5" s="20"/>
      <c r="AY5" s="52">
        <f>IF(D6&lt;&gt;"",D6,0)</f>
        <v>0</v>
      </c>
      <c r="AZ5" s="52">
        <f>IF(I6&lt;&gt;"",I6,0)</f>
        <v>0</v>
      </c>
      <c r="BA5" s="52">
        <f>IF(N6&lt;&gt;"",N6,0)</f>
        <v>0</v>
      </c>
      <c r="BB5" s="52">
        <f>IF(S6&lt;&gt;"",S6,0)</f>
        <v>0</v>
      </c>
    </row>
    <row r="6" spans="2:54" ht="24" customHeight="1">
      <c r="B6" s="244" t="str">
        <f>VLOOKUP(B5,'参加チーム'!$B$5:$F$73,IF($AG$3=1,3,4),FALSE)</f>
        <v>Itatica</v>
      </c>
      <c r="C6" s="393"/>
      <c r="D6" s="393"/>
      <c r="E6" s="393"/>
      <c r="F6" s="393"/>
      <c r="G6" s="393"/>
      <c r="H6" s="394" t="s">
        <v>78</v>
      </c>
      <c r="I6" s="395"/>
      <c r="J6" s="395"/>
      <c r="K6" s="395"/>
      <c r="L6" s="396" t="s">
        <v>79</v>
      </c>
      <c r="M6" s="394" t="s">
        <v>78</v>
      </c>
      <c r="N6" s="395"/>
      <c r="O6" s="395"/>
      <c r="P6" s="395"/>
      <c r="Q6" s="396" t="s">
        <v>79</v>
      </c>
      <c r="R6" s="394" t="s">
        <v>78</v>
      </c>
      <c r="S6" s="395">
        <f>VLOOKUP("前"&amp;$B5&amp;T$31,'２部北対戦表'!$R$1:$U$89,2,FALSE)</f>
      </c>
      <c r="T6" s="395">
        <f>IF(S6&lt;&gt;"",IF(S6&gt;U6,"○",IF(S6&lt;U6,"●","△")),"")</f>
      </c>
      <c r="U6" s="395">
        <f>VLOOKUP("前"&amp;$B5&amp;T$31,'２部北対戦表'!$R$1:$U$89,3,FALSE)</f>
      </c>
      <c r="V6" s="396" t="s">
        <v>79</v>
      </c>
      <c r="W6" s="394" t="s">
        <v>78</v>
      </c>
      <c r="X6" s="395">
        <f>VLOOKUP("前"&amp;$B5&amp;Y$31,'２部北対戦表'!$R$1:$U$89,2,FALSE)</f>
      </c>
      <c r="Y6" s="395">
        <f>IF(X6&lt;&gt;"",IF(X6&gt;Z6,"○",IF(X6&lt;Z6,"●","△")),"")</f>
      </c>
      <c r="Z6" s="395">
        <f>VLOOKUP("前"&amp;$B5&amp;Y$31,'２部北対戦表'!$R$1:$U$89,3,FALSE)</f>
      </c>
      <c r="AA6" s="396" t="s">
        <v>79</v>
      </c>
      <c r="AB6" s="394" t="s">
        <v>78</v>
      </c>
      <c r="AC6" s="395">
        <f>VLOOKUP("前"&amp;$B5&amp;AD$31,'２部北対戦表'!$R$1:$U$89,2,FALSE)</f>
      </c>
      <c r="AD6" s="395">
        <f>IF(AC6&lt;&gt;"",IF(AC6&gt;AE6,"○",IF(AC6&lt;AE6,"●","△")),"")</f>
      </c>
      <c r="AE6" s="395">
        <f>VLOOKUP("前"&amp;$B5&amp;AD$31,'２部北対戦表'!$R$1:$U$89,3,FALSE)</f>
      </c>
      <c r="AF6" s="397" t="s">
        <v>79</v>
      </c>
      <c r="AG6" s="386"/>
      <c r="AH6" s="376"/>
      <c r="AI6" s="376"/>
      <c r="AJ6" s="377"/>
      <c r="AK6" s="165"/>
      <c r="AL6" s="165"/>
      <c r="AM6" s="165"/>
      <c r="AN6" s="381"/>
      <c r="AP6" s="158"/>
      <c r="AQ6" s="51"/>
      <c r="AR6" s="22">
        <f>COUNTIF($C5:$AF8,"○")</f>
        <v>0</v>
      </c>
      <c r="AS6" s="22">
        <f>COUNTIF($C5:$AF8,"△")</f>
        <v>0</v>
      </c>
      <c r="AT6" s="22">
        <f>COUNTIF($C5:$AF8,"●")</f>
        <v>0</v>
      </c>
      <c r="AU6" s="57">
        <f>AR6*3+AS6</f>
        <v>0</v>
      </c>
      <c r="AV6" s="20"/>
      <c r="AW6" s="20"/>
      <c r="AY6" s="53">
        <f>IF(F6&lt;&gt;"",F6,0)</f>
        <v>0</v>
      </c>
      <c r="AZ6" s="53">
        <f>IF(K6&lt;&gt;"",K6,0)</f>
        <v>0</v>
      </c>
      <c r="BA6" s="53">
        <f>IF(P6&lt;&gt;"",P6,0)</f>
        <v>0</v>
      </c>
      <c r="BB6" s="53">
        <f>IF(U6&lt;&gt;"",U6,0)</f>
        <v>0</v>
      </c>
    </row>
    <row r="7" spans="2:54" ht="24" customHeight="1" thickBot="1">
      <c r="B7" s="244"/>
      <c r="C7" s="393"/>
      <c r="D7" s="393"/>
      <c r="E7" s="393"/>
      <c r="F7" s="393"/>
      <c r="G7" s="393"/>
      <c r="H7" s="398" t="e">
        <f>VLOOKUP("後"&amp;$B5&amp;J$31,'２部北対戦表'!$R$1:$U$89,4,FALSE)</f>
        <v>#N/A</v>
      </c>
      <c r="I7" s="399"/>
      <c r="J7" s="399"/>
      <c r="K7" s="399"/>
      <c r="L7" s="400"/>
      <c r="M7" s="399" t="e">
        <f>VLOOKUP("後"&amp;$B5&amp;O$31,'２部北対戦表'!$R$1:$U$89,4,FALSE)</f>
        <v>#N/A</v>
      </c>
      <c r="N7" s="399"/>
      <c r="O7" s="399"/>
      <c r="P7" s="399"/>
      <c r="Q7" s="399"/>
      <c r="R7" s="398" t="e">
        <f>VLOOKUP("後"&amp;$B5&amp;T$31,'２部北対戦表'!$R$1:$U$89,4,FALSE)</f>
        <v>#N/A</v>
      </c>
      <c r="S7" s="399"/>
      <c r="T7" s="399"/>
      <c r="U7" s="399"/>
      <c r="V7" s="400"/>
      <c r="W7" s="401" t="e">
        <f>VLOOKUP("前"&amp;$B7&amp;Y$31,'２部北対戦表'!$R$1:$U$89,4,FALSE)</f>
        <v>#N/A</v>
      </c>
      <c r="X7" s="402"/>
      <c r="Y7" s="402"/>
      <c r="Z7" s="402"/>
      <c r="AA7" s="403"/>
      <c r="AB7" s="401" t="e">
        <f>VLOOKUP("前"&amp;$B7&amp;AD$31,'２部北対戦表'!$R$1:$U$89,4,FALSE)</f>
        <v>#N/A</v>
      </c>
      <c r="AC7" s="402"/>
      <c r="AD7" s="402"/>
      <c r="AE7" s="402"/>
      <c r="AF7" s="404"/>
      <c r="AG7" s="386"/>
      <c r="AH7" s="376"/>
      <c r="AI7" s="376"/>
      <c r="AJ7" s="377"/>
      <c r="AK7" s="165"/>
      <c r="AL7" s="165"/>
      <c r="AM7" s="165"/>
      <c r="AN7" s="381"/>
      <c r="AP7" s="159"/>
      <c r="AQ7" s="51"/>
      <c r="AR7" s="20" t="s">
        <v>90</v>
      </c>
      <c r="AS7" s="20" t="s">
        <v>91</v>
      </c>
      <c r="AT7" s="20" t="s">
        <v>92</v>
      </c>
      <c r="AU7" s="21"/>
      <c r="AV7" s="21" t="s">
        <v>98</v>
      </c>
      <c r="AW7" s="55">
        <f>IF(AND(AR6=0,AS6=0,AT6=0),0,+AJ5*1000+AM5)</f>
        <v>0</v>
      </c>
      <c r="AY7" s="53">
        <f>IF(D8&lt;&gt;"",D8,0)</f>
        <v>0</v>
      </c>
      <c r="AZ7" s="53" t="e">
        <f>IF(I8&lt;&gt;"",I8,0)</f>
        <v>#N/A</v>
      </c>
      <c r="BA7" s="53" t="e">
        <f>IF(N8&lt;&gt;"",N8,0)</f>
        <v>#N/A</v>
      </c>
      <c r="BB7" s="53" t="e">
        <f>IF(S8&lt;&gt;"",S8,0)</f>
        <v>#N/A</v>
      </c>
    </row>
    <row r="8" spans="2:54" ht="24" customHeight="1">
      <c r="B8" s="245"/>
      <c r="C8" s="405"/>
      <c r="D8" s="405"/>
      <c r="E8" s="405"/>
      <c r="F8" s="405"/>
      <c r="G8" s="405"/>
      <c r="H8" s="406" t="s">
        <v>78</v>
      </c>
      <c r="I8" s="407" t="e">
        <f>VLOOKUP("後"&amp;$B5&amp;J$31,'２部北対戦表'!$R$1:$U$89,2,FALSE)</f>
        <v>#N/A</v>
      </c>
      <c r="J8" s="407" t="e">
        <f>IF(I8&lt;&gt;"",IF(I8&gt;K8,"○",IF(I8&lt;K8,"●","△")),"")</f>
        <v>#N/A</v>
      </c>
      <c r="K8" s="407" t="e">
        <f>VLOOKUP("後"&amp;$B5&amp;J$31,'２部北対戦表'!$R$1:$U$89,3,FALSE)</f>
        <v>#N/A</v>
      </c>
      <c r="L8" s="408" t="s">
        <v>79</v>
      </c>
      <c r="M8" s="407" t="s">
        <v>78</v>
      </c>
      <c r="N8" s="407" t="e">
        <f>VLOOKUP("後"&amp;$B5&amp;O$31,'２部北対戦表'!$R$1:$U$89,2,FALSE)</f>
        <v>#N/A</v>
      </c>
      <c r="O8" s="407" t="e">
        <f>IF(N8&lt;&gt;"",IF(N8&gt;P8,"○",IF(N8&lt;P8,"●","△")),"")</f>
        <v>#N/A</v>
      </c>
      <c r="P8" s="407" t="e">
        <f>VLOOKUP("後"&amp;$B5&amp;O$31,'２部北対戦表'!$R$1:$U$89,3,FALSE)</f>
        <v>#N/A</v>
      </c>
      <c r="Q8" s="407" t="s">
        <v>79</v>
      </c>
      <c r="R8" s="406" t="s">
        <v>78</v>
      </c>
      <c r="S8" s="407" t="e">
        <f>VLOOKUP("後"&amp;$B5&amp;T$31,'２部北対戦表'!$R$1:$U$89,2,FALSE)</f>
        <v>#N/A</v>
      </c>
      <c r="T8" s="407" t="e">
        <f>IF(S8&lt;&gt;"",IF(S8&gt;U8,"○",IF(S8&lt;U8,"●","△")),"")</f>
        <v>#N/A</v>
      </c>
      <c r="U8" s="407" t="e">
        <f>VLOOKUP("後"&amp;$B5&amp;T$31,'２部北対戦表'!$R$1:$U$89,3,FALSE)</f>
        <v>#N/A</v>
      </c>
      <c r="V8" s="408" t="s">
        <v>79</v>
      </c>
      <c r="W8" s="409" t="s">
        <v>78</v>
      </c>
      <c r="X8" s="410" t="e">
        <f>VLOOKUP("前"&amp;$B7&amp;Y$31,'２部北対戦表'!$R$1:$U$89,2,FALSE)</f>
        <v>#N/A</v>
      </c>
      <c r="Y8" s="410" t="e">
        <f>IF(X8&lt;&gt;"",IF(X8&gt;Z8,"○",IF(X8&lt;Z8,"●","△")),"")</f>
        <v>#N/A</v>
      </c>
      <c r="Z8" s="410" t="e">
        <f>VLOOKUP("前"&amp;$B7&amp;Y$31,'２部北対戦表'!$R$1:$U$89,3,FALSE)</f>
        <v>#N/A</v>
      </c>
      <c r="AA8" s="411" t="s">
        <v>79</v>
      </c>
      <c r="AB8" s="409" t="s">
        <v>78</v>
      </c>
      <c r="AC8" s="410" t="e">
        <f>VLOOKUP("前"&amp;$B7&amp;AD$31,'２部北対戦表'!$R$1:$U$89,2,FALSE)</f>
        <v>#N/A</v>
      </c>
      <c r="AD8" s="410" t="e">
        <f>IF(AC8&lt;&gt;"",IF(AC8&gt;AE8,"○",IF(AC8&lt;AE8,"●","△")),"")</f>
        <v>#N/A</v>
      </c>
      <c r="AE8" s="410" t="e">
        <f>VLOOKUP("前"&amp;$B7&amp;AD$31,'２部北対戦表'!$R$1:$U$89,3,FALSE)</f>
        <v>#N/A</v>
      </c>
      <c r="AF8" s="412" t="s">
        <v>79</v>
      </c>
      <c r="AG8" s="386"/>
      <c r="AH8" s="376"/>
      <c r="AI8" s="376"/>
      <c r="AJ8" s="377"/>
      <c r="AK8" s="165"/>
      <c r="AL8" s="165"/>
      <c r="AM8" s="165"/>
      <c r="AN8" s="381"/>
      <c r="AR8" s="20" t="e">
        <f>SUM(AY5:BB5)+SUM(#REF!)+SUM(AY7:BB7)</f>
        <v>#REF!</v>
      </c>
      <c r="AS8" s="20" t="e">
        <f>SUM(AY6:BB6)+SUM(#REF!)+SUM(AY8:BB8)</f>
        <v>#REF!</v>
      </c>
      <c r="AT8" t="e">
        <f>+AR8-AS8</f>
        <v>#REF!</v>
      </c>
      <c r="AU8" s="21"/>
      <c r="AV8" s="21"/>
      <c r="AW8" s="21"/>
      <c r="AY8" s="54">
        <f>IF(F8&lt;&gt;"",F8,0)</f>
        <v>0</v>
      </c>
      <c r="AZ8" s="54" t="e">
        <f>IF(K8&lt;&gt;"",K8,0)</f>
        <v>#N/A</v>
      </c>
      <c r="BA8" s="54" t="e">
        <f>IF(P8&lt;&gt;"",P8,0)</f>
        <v>#N/A</v>
      </c>
      <c r="BB8" s="54" t="e">
        <f>IF(U8&lt;&gt;"",U8,0)</f>
        <v>#N/A</v>
      </c>
    </row>
    <row r="9" spans="2:54" ht="24" customHeight="1" thickBot="1">
      <c r="B9" s="3" t="s">
        <v>4</v>
      </c>
      <c r="C9" s="413">
        <v>40371</v>
      </c>
      <c r="D9" s="414"/>
      <c r="E9" s="414"/>
      <c r="F9" s="414"/>
      <c r="G9" s="415"/>
      <c r="H9" s="416"/>
      <c r="I9" s="417"/>
      <c r="J9" s="417"/>
      <c r="K9" s="417"/>
      <c r="L9" s="418"/>
      <c r="M9" s="414">
        <f>VLOOKUP("前"&amp;$B9&amp;O$31,'２部北対戦表'!$R$1:$U$89,4,FALSE)</f>
        <v>40343</v>
      </c>
      <c r="N9" s="414"/>
      <c r="O9" s="414"/>
      <c r="P9" s="414"/>
      <c r="Q9" s="414"/>
      <c r="R9" s="419">
        <f>VLOOKUP("前"&amp;$B9&amp;T$31,'２部北対戦表'!$R$1:$U$89,4,FALSE)</f>
        <v>40336</v>
      </c>
      <c r="S9" s="414"/>
      <c r="T9" s="414"/>
      <c r="U9" s="414"/>
      <c r="V9" s="415"/>
      <c r="W9" s="419">
        <f>VLOOKUP("前"&amp;$B9&amp;Y$31,'２部北対戦表'!$R$1:$U$89,4,FALSE)</f>
        <v>40315</v>
      </c>
      <c r="X9" s="414"/>
      <c r="Y9" s="414"/>
      <c r="Z9" s="414"/>
      <c r="AA9" s="415"/>
      <c r="AB9" s="419">
        <v>40357</v>
      </c>
      <c r="AC9" s="414"/>
      <c r="AD9" s="414"/>
      <c r="AE9" s="414"/>
      <c r="AF9" s="420"/>
      <c r="AG9" s="386">
        <f>IF(AND($AR10=0,$AS10=0,$AT10=0),"",AR10)</f>
      </c>
      <c r="AH9" s="376">
        <f>IF(AND($AR10=0,$AS10=0,$AT10=0),"",AS10)</f>
      </c>
      <c r="AI9" s="376">
        <f>IF(AND($AR10=0,$AS10=0,$AT10=0),"",AT10)</f>
      </c>
      <c r="AJ9" s="377">
        <f>IF(AND($AR10=0,$AS10=0,$AT10=0),"",AU10+AP10)</f>
      </c>
      <c r="AK9" s="165">
        <f>IF(AND($AR10=0,$AS10=0,$AT10=0),"",AR12)</f>
      </c>
      <c r="AL9" s="165">
        <f>IF(AND($AR10=0,$AS10=0,$AT10=0),"",AS12)</f>
      </c>
      <c r="AM9" s="165">
        <f>IF(AND($AR10=0,$AS10=0,$AT10=0),"",AT12)</f>
      </c>
      <c r="AN9" s="381">
        <f>IF(AND($AR10=0,$AS10=0,$AT10=0),"",RANK(AW11,AW$7:AW$20))</f>
      </c>
      <c r="AR9" s="57" t="s">
        <v>86</v>
      </c>
      <c r="AS9" s="57" t="s">
        <v>87</v>
      </c>
      <c r="AT9" s="57" t="s">
        <v>88</v>
      </c>
      <c r="AU9" s="57" t="s">
        <v>89</v>
      </c>
      <c r="AY9" s="52">
        <f>IF(D10&lt;&gt;"",D10,0)</f>
        <v>0</v>
      </c>
      <c r="AZ9" s="52">
        <f>IF(I10&lt;&gt;"",I10,0)</f>
        <v>0</v>
      </c>
      <c r="BA9" s="52">
        <f>IF(N10&lt;&gt;"",N10,0)</f>
        <v>0</v>
      </c>
      <c r="BB9" s="52">
        <f>IF(S10&lt;&gt;"",S10,0)</f>
        <v>0</v>
      </c>
    </row>
    <row r="10" spans="2:54" ht="24" customHeight="1">
      <c r="B10" s="244" t="str">
        <f>VLOOKUP(B9,'参加チーム'!$B$5:$F$73,IF($AG$3=1,3,4),FALSE)</f>
        <v>ヴィヴァーレ</v>
      </c>
      <c r="C10" s="395" t="s">
        <v>78</v>
      </c>
      <c r="D10" s="395"/>
      <c r="E10" s="395"/>
      <c r="F10" s="395"/>
      <c r="G10" s="395" t="s">
        <v>79</v>
      </c>
      <c r="H10" s="421"/>
      <c r="I10" s="393"/>
      <c r="J10" s="393"/>
      <c r="K10" s="393"/>
      <c r="L10" s="422"/>
      <c r="M10" s="395" t="s">
        <v>78</v>
      </c>
      <c r="N10" s="395">
        <f>VLOOKUP("前"&amp;$B9&amp;O$31,'２部北対戦表'!$R$1:$U$89,2,FALSE)</f>
      </c>
      <c r="O10" s="395">
        <f>IF(N10&lt;&gt;"",IF(N10&gt;P10,"○",IF(N10&lt;P10,"●","△")),"")</f>
      </c>
      <c r="P10" s="395">
        <f>VLOOKUP("前"&amp;$B9&amp;O$31,'２部北対戦表'!$R$1:$U$89,3,FALSE)</f>
      </c>
      <c r="Q10" s="395" t="s">
        <v>79</v>
      </c>
      <c r="R10" s="394" t="s">
        <v>78</v>
      </c>
      <c r="S10" s="395">
        <f>VLOOKUP("前"&amp;$B9&amp;T$31,'２部北対戦表'!$R$1:$U$89,2,FALSE)</f>
      </c>
      <c r="T10" s="395">
        <f>IF(S10&lt;&gt;"",IF(S10&gt;U10,"○",IF(S10&lt;U10,"●","△")),"")</f>
      </c>
      <c r="U10" s="395">
        <f>VLOOKUP("前"&amp;$B9&amp;T$31,'２部北対戦表'!$R$1:$U$89,3,FALSE)</f>
      </c>
      <c r="V10" s="396" t="s">
        <v>79</v>
      </c>
      <c r="W10" s="394" t="s">
        <v>78</v>
      </c>
      <c r="X10" s="395">
        <f>VLOOKUP("前"&amp;$B9&amp;Y$31,'２部北対戦表'!$R$1:$U$89,2,FALSE)</f>
      </c>
      <c r="Y10" s="395">
        <f>IF(X10&lt;&gt;"",IF(X10&gt;Z10,"○",IF(X10&lt;Z10,"●","△")),"")</f>
      </c>
      <c r="Z10" s="395">
        <f>VLOOKUP("前"&amp;$B9&amp;Y$31,'２部北対戦表'!$R$1:$U$89,3,FALSE)</f>
      </c>
      <c r="AA10" s="396" t="s">
        <v>79</v>
      </c>
      <c r="AB10" s="394" t="s">
        <v>78</v>
      </c>
      <c r="AC10" s="395"/>
      <c r="AD10" s="395"/>
      <c r="AE10" s="395"/>
      <c r="AF10" s="397" t="s">
        <v>79</v>
      </c>
      <c r="AG10" s="386"/>
      <c r="AH10" s="376"/>
      <c r="AI10" s="376"/>
      <c r="AJ10" s="377"/>
      <c r="AK10" s="165"/>
      <c r="AL10" s="165"/>
      <c r="AM10" s="165"/>
      <c r="AN10" s="381"/>
      <c r="AP10" s="158"/>
      <c r="AQ10" s="51"/>
      <c r="AR10" s="22">
        <f>COUNTIF($C9:$AF12,"○")</f>
        <v>0</v>
      </c>
      <c r="AS10" s="22">
        <f>COUNTIF($C9:$AF12,"△")</f>
        <v>0</v>
      </c>
      <c r="AT10" s="22">
        <f>COUNTIF($C9:$AF12,"●")</f>
        <v>0</v>
      </c>
      <c r="AU10" s="57">
        <f>AR10*3+AS10</f>
        <v>0</v>
      </c>
      <c r="AY10" s="53">
        <f>IF(F10&lt;&gt;"",F10,0)</f>
        <v>0</v>
      </c>
      <c r="AZ10" s="53">
        <f>IF(K10&lt;&gt;"",K10,0)</f>
        <v>0</v>
      </c>
      <c r="BA10" s="53">
        <f>IF(P10&lt;&gt;"",P10,0)</f>
        <v>0</v>
      </c>
      <c r="BB10" s="53">
        <f>IF(U10&lt;&gt;"",U10,0)</f>
        <v>0</v>
      </c>
    </row>
    <row r="11" spans="2:54" ht="24" customHeight="1" thickBot="1">
      <c r="B11" s="244"/>
      <c r="C11" s="399" t="e">
        <f>VLOOKUP("後"&amp;$B9&amp;E$31,'２部北対戦表'!$R$1:$U$89,4,FALSE)</f>
        <v>#N/A</v>
      </c>
      <c r="D11" s="399"/>
      <c r="E11" s="399"/>
      <c r="F11" s="399"/>
      <c r="G11" s="399"/>
      <c r="H11" s="421"/>
      <c r="I11" s="393"/>
      <c r="J11" s="393"/>
      <c r="K11" s="393"/>
      <c r="L11" s="422"/>
      <c r="M11" s="399" t="e">
        <f>VLOOKUP("後"&amp;$B9&amp;O$31,'２部北対戦表'!$R$1:$U$89,4,FALSE)</f>
        <v>#N/A</v>
      </c>
      <c r="N11" s="399"/>
      <c r="O11" s="399"/>
      <c r="P11" s="399"/>
      <c r="Q11" s="399"/>
      <c r="R11" s="398" t="e">
        <f>VLOOKUP("後"&amp;$B9&amp;T$31,'２部北対戦表'!$R$1:$U$89,4,FALSE)</f>
        <v>#N/A</v>
      </c>
      <c r="S11" s="399"/>
      <c r="T11" s="399"/>
      <c r="U11" s="399"/>
      <c r="V11" s="400"/>
      <c r="W11" s="401" t="e">
        <f>VLOOKUP("前"&amp;$B11&amp;Y$31,'２部北対戦表'!$R$1:$U$89,4,FALSE)</f>
        <v>#N/A</v>
      </c>
      <c r="X11" s="402"/>
      <c r="Y11" s="402"/>
      <c r="Z11" s="402"/>
      <c r="AA11" s="403"/>
      <c r="AB11" s="401" t="e">
        <f>VLOOKUP("前"&amp;$B11&amp;AD$31,'２部北対戦表'!$R$1:$U$89,4,FALSE)</f>
        <v>#N/A</v>
      </c>
      <c r="AC11" s="402"/>
      <c r="AD11" s="402"/>
      <c r="AE11" s="402"/>
      <c r="AF11" s="404"/>
      <c r="AG11" s="386"/>
      <c r="AH11" s="376"/>
      <c r="AI11" s="376"/>
      <c r="AJ11" s="377"/>
      <c r="AK11" s="165"/>
      <c r="AL11" s="165"/>
      <c r="AM11" s="165"/>
      <c r="AN11" s="381"/>
      <c r="AP11" s="159"/>
      <c r="AQ11" s="51"/>
      <c r="AR11" s="20" t="s">
        <v>90</v>
      </c>
      <c r="AS11" s="20" t="s">
        <v>91</v>
      </c>
      <c r="AT11" s="20" t="s">
        <v>92</v>
      </c>
      <c r="AU11" s="21"/>
      <c r="AV11" s="21" t="s">
        <v>98</v>
      </c>
      <c r="AW11" s="55">
        <f>IF(AND(AR10=0,AS10=0,AT10=0),0,+AJ9*1000+AM9)</f>
        <v>0</v>
      </c>
      <c r="AY11" s="53" t="e">
        <f>IF(D12&lt;&gt;"",D12,0)</f>
        <v>#N/A</v>
      </c>
      <c r="AZ11" s="53">
        <f>IF(I12&lt;&gt;"",I12,0)</f>
        <v>0</v>
      </c>
      <c r="BA11" s="53" t="e">
        <f>IF(N12&lt;&gt;"",N12,0)</f>
        <v>#N/A</v>
      </c>
      <c r="BB11" s="53" t="e">
        <f>IF(S12&lt;&gt;"",S12,0)</f>
        <v>#N/A</v>
      </c>
    </row>
    <row r="12" spans="2:54" ht="24" customHeight="1">
      <c r="B12" s="245"/>
      <c r="C12" s="407" t="s">
        <v>78</v>
      </c>
      <c r="D12" s="407" t="e">
        <f>VLOOKUP("後"&amp;$B9&amp;E$31,'２部北対戦表'!$R$1:$U$89,2,FALSE)</f>
        <v>#N/A</v>
      </c>
      <c r="E12" s="407" t="e">
        <f>IF(D12&lt;&gt;"",IF(D12&gt;F12,"○",IF(D12&lt;F12,"●","△")),"")</f>
        <v>#N/A</v>
      </c>
      <c r="F12" s="407" t="e">
        <f>VLOOKUP("後"&amp;$B9&amp;E$31,'２部北対戦表'!$R$1:$U$89,3,FALSE)</f>
        <v>#N/A</v>
      </c>
      <c r="G12" s="407" t="s">
        <v>79</v>
      </c>
      <c r="H12" s="423"/>
      <c r="I12" s="405"/>
      <c r="J12" s="405"/>
      <c r="K12" s="405"/>
      <c r="L12" s="424"/>
      <c r="M12" s="407" t="s">
        <v>78</v>
      </c>
      <c r="N12" s="407" t="e">
        <f>VLOOKUP("後"&amp;$B9&amp;O$31,'２部北対戦表'!$R$1:$U$89,2,FALSE)</f>
        <v>#N/A</v>
      </c>
      <c r="O12" s="407" t="e">
        <f>IF(N12&lt;&gt;"",IF(N12&gt;P12,"○",IF(N12&lt;P12,"●","△")),"")</f>
        <v>#N/A</v>
      </c>
      <c r="P12" s="407" t="e">
        <f>VLOOKUP("後"&amp;$B9&amp;O$31,'２部北対戦表'!$R$1:$U$89,3,FALSE)</f>
        <v>#N/A</v>
      </c>
      <c r="Q12" s="407" t="s">
        <v>79</v>
      </c>
      <c r="R12" s="406" t="s">
        <v>78</v>
      </c>
      <c r="S12" s="407" t="e">
        <f>VLOOKUP("後"&amp;$B9&amp;T$31,'２部北対戦表'!$R$1:$U$89,2,FALSE)</f>
        <v>#N/A</v>
      </c>
      <c r="T12" s="407" t="e">
        <f>IF(S12&lt;&gt;"",IF(S12&gt;U12,"○",IF(S12&lt;U12,"●","△")),"")</f>
        <v>#N/A</v>
      </c>
      <c r="U12" s="407" t="e">
        <f>VLOOKUP("後"&amp;$B9&amp;T$31,'２部北対戦表'!$R$1:$U$89,3,FALSE)</f>
        <v>#N/A</v>
      </c>
      <c r="V12" s="408" t="s">
        <v>79</v>
      </c>
      <c r="W12" s="409" t="s">
        <v>78</v>
      </c>
      <c r="X12" s="410" t="e">
        <f>VLOOKUP("前"&amp;$B11&amp;Y$31,'２部北対戦表'!$R$1:$U$89,2,FALSE)</f>
        <v>#N/A</v>
      </c>
      <c r="Y12" s="410" t="e">
        <f>IF(X12&lt;&gt;"",IF(X12&gt;Z12,"○",IF(X12&lt;Z12,"●","△")),"")</f>
        <v>#N/A</v>
      </c>
      <c r="Z12" s="410" t="e">
        <f>VLOOKUP("前"&amp;$B11&amp;Y$31,'２部北対戦表'!$R$1:$U$89,3,FALSE)</f>
        <v>#N/A</v>
      </c>
      <c r="AA12" s="411" t="s">
        <v>79</v>
      </c>
      <c r="AB12" s="409" t="s">
        <v>78</v>
      </c>
      <c r="AC12" s="410" t="e">
        <f>VLOOKUP("前"&amp;$B11&amp;AD$31,'２部北対戦表'!$R$1:$U$89,2,FALSE)</f>
        <v>#N/A</v>
      </c>
      <c r="AD12" s="410" t="e">
        <f>IF(AC12&lt;&gt;"",IF(AC12&gt;AE12,"○",IF(AC12&lt;AE12,"●","△")),"")</f>
        <v>#N/A</v>
      </c>
      <c r="AE12" s="410" t="e">
        <f>VLOOKUP("前"&amp;$B11&amp;AD$31,'２部北対戦表'!$R$1:$U$89,3,FALSE)</f>
        <v>#N/A</v>
      </c>
      <c r="AF12" s="412" t="s">
        <v>79</v>
      </c>
      <c r="AG12" s="386"/>
      <c r="AH12" s="376"/>
      <c r="AI12" s="376"/>
      <c r="AJ12" s="377"/>
      <c r="AK12" s="165"/>
      <c r="AL12" s="165"/>
      <c r="AM12" s="165"/>
      <c r="AN12" s="381"/>
      <c r="AR12" s="20" t="e">
        <f>SUM(AY9:BB9)+SUM(#REF!)+SUM(AY11:BB11)</f>
        <v>#REF!</v>
      </c>
      <c r="AS12" s="20" t="e">
        <f>SUM(AY10:BB10)+SUM(#REF!)+SUM(AY12:BB12)</f>
        <v>#REF!</v>
      </c>
      <c r="AT12" t="e">
        <f>+AR12-AS12</f>
        <v>#REF!</v>
      </c>
      <c r="AU12" s="21"/>
      <c r="AY12" s="54" t="e">
        <f>IF(F12&lt;&gt;"",F12,0)</f>
        <v>#N/A</v>
      </c>
      <c r="AZ12" s="54">
        <f>IF(K12&lt;&gt;"",K12,0)</f>
        <v>0</v>
      </c>
      <c r="BA12" s="54" t="e">
        <f>IF(P12&lt;&gt;"",P12,0)</f>
        <v>#N/A</v>
      </c>
      <c r="BB12" s="54" t="e">
        <f>IF(U12&lt;&gt;"",U12,0)</f>
        <v>#N/A</v>
      </c>
    </row>
    <row r="13" spans="2:54" ht="24" customHeight="1" thickBot="1">
      <c r="B13" s="3" t="s">
        <v>5</v>
      </c>
      <c r="C13" s="414">
        <v>40357</v>
      </c>
      <c r="D13" s="414"/>
      <c r="E13" s="414"/>
      <c r="F13" s="414"/>
      <c r="G13" s="414"/>
      <c r="H13" s="419">
        <f>VLOOKUP("前"&amp;$B13&amp;J$31,'２部北対戦表'!$R$1:$U$89,4,FALSE)</f>
        <v>40343</v>
      </c>
      <c r="I13" s="414"/>
      <c r="J13" s="414"/>
      <c r="K13" s="414"/>
      <c r="L13" s="415"/>
      <c r="M13" s="417"/>
      <c r="N13" s="417"/>
      <c r="O13" s="417"/>
      <c r="P13" s="417"/>
      <c r="Q13" s="417"/>
      <c r="R13" s="419">
        <f>VLOOKUP("前"&amp;$B13&amp;T$31,'２部北対戦表'!$R$1:$U$89,4,FALSE)</f>
        <v>40315</v>
      </c>
      <c r="S13" s="414"/>
      <c r="T13" s="414"/>
      <c r="U13" s="414"/>
      <c r="V13" s="415"/>
      <c r="W13" s="419">
        <v>40371</v>
      </c>
      <c r="X13" s="414"/>
      <c r="Y13" s="414"/>
      <c r="Z13" s="414"/>
      <c r="AA13" s="415"/>
      <c r="AB13" s="419">
        <f>VLOOKUP("前"&amp;$B13&amp;AD$31,'２部北対戦表'!$R$1:$U$89,4,FALSE)</f>
        <v>40336</v>
      </c>
      <c r="AC13" s="414"/>
      <c r="AD13" s="414"/>
      <c r="AE13" s="414"/>
      <c r="AF13" s="420"/>
      <c r="AG13" s="386">
        <f>IF(AND($AR14=0,$AS14=0,$AT14=0),"",AR14)</f>
      </c>
      <c r="AH13" s="376">
        <f>IF(AND($AR14=0,$AS14=0,$AT14=0),"",AS14)</f>
      </c>
      <c r="AI13" s="376">
        <f>IF(AND($AR14=0,$AS14=0,$AT14=0),"",AT14)</f>
      </c>
      <c r="AJ13" s="377">
        <f>IF(AND($AR14=0,$AS14=0,$AT14=0),"",AU14+AP14)</f>
      </c>
      <c r="AK13" s="165">
        <f>IF(AND($AR14=0,$AS14=0,$AT14=0),"",AR16)</f>
      </c>
      <c r="AL13" s="165">
        <f>IF(AND($AR14=0,$AS14=0,$AT14=0),"",AS16)</f>
      </c>
      <c r="AM13" s="165">
        <f>IF(AND($AR14=0,$AS14=0,$AT14=0),"",AT16)</f>
      </c>
      <c r="AN13" s="381">
        <f>IF(AND($AR14=0,$AS14=0,$AT14=0),"",RANK(AW15,AW$7:AW$20))</f>
      </c>
      <c r="AR13" s="57" t="s">
        <v>86</v>
      </c>
      <c r="AS13" s="57" t="s">
        <v>87</v>
      </c>
      <c r="AT13" s="57" t="s">
        <v>88</v>
      </c>
      <c r="AU13" s="57" t="s">
        <v>89</v>
      </c>
      <c r="AY13" s="52">
        <f>IF(D14&lt;&gt;"",D14,0)</f>
        <v>0</v>
      </c>
      <c r="AZ13" s="52">
        <f>IF(I14&lt;&gt;"",I14,0)</f>
        <v>0</v>
      </c>
      <c r="BA13" s="52">
        <f>IF(N14&lt;&gt;"",N14,0)</f>
        <v>0</v>
      </c>
      <c r="BB13" s="52">
        <f>IF(S14&lt;&gt;"",S14,0)</f>
        <v>0</v>
      </c>
    </row>
    <row r="14" spans="2:54" ht="24" customHeight="1">
      <c r="B14" s="244" t="str">
        <f>VLOOKUP(B13,'参加チーム'!$B$5:$F$73,IF($AG$3=1,3,4),FALSE)</f>
        <v>Carioca</v>
      </c>
      <c r="C14" s="395" t="s">
        <v>78</v>
      </c>
      <c r="D14" s="395"/>
      <c r="E14" s="395"/>
      <c r="F14" s="395"/>
      <c r="G14" s="395" t="s">
        <v>79</v>
      </c>
      <c r="H14" s="394" t="s">
        <v>78</v>
      </c>
      <c r="I14" s="395">
        <f>VLOOKUP("前"&amp;$B13&amp;J$31,'２部北対戦表'!$R$1:$U$89,2,FALSE)</f>
      </c>
      <c r="J14" s="395">
        <f>IF(I14&lt;&gt;"",IF(I14&gt;K14,"○",IF(I14&lt;K14,"●","△")),"")</f>
      </c>
      <c r="K14" s="395">
        <f>VLOOKUP("前"&amp;$B13&amp;J$31,'２部北対戦表'!$R$1:$U$89,3,FALSE)</f>
      </c>
      <c r="L14" s="396" t="s">
        <v>79</v>
      </c>
      <c r="M14" s="393"/>
      <c r="N14" s="393"/>
      <c r="O14" s="393"/>
      <c r="P14" s="393"/>
      <c r="Q14" s="393"/>
      <c r="R14" s="394" t="s">
        <v>78</v>
      </c>
      <c r="S14" s="395">
        <f>VLOOKUP("前"&amp;$B13&amp;T$31,'２部北対戦表'!$R$1:$U$89,2,FALSE)</f>
      </c>
      <c r="T14" s="395">
        <f>IF(S14&lt;&gt;"",IF(S14&gt;U14,"○",IF(S14&lt;U14,"●","△")),"")</f>
      </c>
      <c r="U14" s="395">
        <f>VLOOKUP("前"&amp;$B13&amp;T$31,'２部北対戦表'!$R$1:$U$89,3,FALSE)</f>
      </c>
      <c r="V14" s="396" t="s">
        <v>79</v>
      </c>
      <c r="W14" s="394" t="s">
        <v>78</v>
      </c>
      <c r="X14" s="395"/>
      <c r="Y14" s="395"/>
      <c r="Z14" s="395"/>
      <c r="AA14" s="396" t="s">
        <v>79</v>
      </c>
      <c r="AB14" s="394" t="s">
        <v>78</v>
      </c>
      <c r="AC14" s="395">
        <f>VLOOKUP("前"&amp;$B13&amp;AD$31,'２部北対戦表'!$R$1:$U$89,2,FALSE)</f>
      </c>
      <c r="AD14" s="395">
        <f>IF(AC14&lt;&gt;"",IF(AC14&gt;AE14,"○",IF(AC14&lt;AE14,"●","△")),"")</f>
      </c>
      <c r="AE14" s="395">
        <f>VLOOKUP("前"&amp;$B13&amp;AD$31,'２部北対戦表'!$R$1:$U$89,3,FALSE)</f>
      </c>
      <c r="AF14" s="397" t="s">
        <v>79</v>
      </c>
      <c r="AG14" s="386"/>
      <c r="AH14" s="376"/>
      <c r="AI14" s="376"/>
      <c r="AJ14" s="377"/>
      <c r="AK14" s="165"/>
      <c r="AL14" s="165"/>
      <c r="AM14" s="165"/>
      <c r="AN14" s="381"/>
      <c r="AP14" s="158"/>
      <c r="AQ14" s="51"/>
      <c r="AR14" s="22">
        <f>COUNTIF($C13:$AF16,"○")</f>
        <v>0</v>
      </c>
      <c r="AS14" s="22">
        <f>COUNTIF($C13:$AF16,"△")</f>
        <v>0</v>
      </c>
      <c r="AT14" s="22">
        <f>COUNTIF($C13:$AF16,"●")</f>
        <v>0</v>
      </c>
      <c r="AU14" s="57">
        <f>AR14*3+AS14</f>
        <v>0</v>
      </c>
      <c r="AY14" s="53">
        <f>IF(F14&lt;&gt;"",F14,0)</f>
        <v>0</v>
      </c>
      <c r="AZ14" s="53">
        <f>IF(K14&lt;&gt;"",K14,0)</f>
        <v>0</v>
      </c>
      <c r="BA14" s="53">
        <f>IF(P14&lt;&gt;"",P14,0)</f>
        <v>0</v>
      </c>
      <c r="BB14" s="53">
        <f>IF(U14&lt;&gt;"",U14,0)</f>
        <v>0</v>
      </c>
    </row>
    <row r="15" spans="2:54" ht="24" customHeight="1" thickBot="1">
      <c r="B15" s="244"/>
      <c r="C15" s="399" t="e">
        <f>VLOOKUP("後"&amp;$B13&amp;E$31,'２部北対戦表'!$R$1:$U$89,4,FALSE)</f>
        <v>#N/A</v>
      </c>
      <c r="D15" s="399"/>
      <c r="E15" s="399"/>
      <c r="F15" s="399"/>
      <c r="G15" s="399"/>
      <c r="H15" s="398" t="e">
        <f>VLOOKUP("後"&amp;$B13&amp;J$31,'２部北対戦表'!$R$1:$U$89,4,FALSE)</f>
        <v>#N/A</v>
      </c>
      <c r="I15" s="399"/>
      <c r="J15" s="399"/>
      <c r="K15" s="399"/>
      <c r="L15" s="400"/>
      <c r="M15" s="393"/>
      <c r="N15" s="393"/>
      <c r="O15" s="393"/>
      <c r="P15" s="393"/>
      <c r="Q15" s="393"/>
      <c r="R15" s="398" t="e">
        <f>VLOOKUP("後"&amp;$B13&amp;T$31,'２部北対戦表'!$R$1:$U$89,4,FALSE)</f>
        <v>#N/A</v>
      </c>
      <c r="S15" s="399"/>
      <c r="T15" s="399"/>
      <c r="U15" s="399"/>
      <c r="V15" s="400"/>
      <c r="W15" s="401" t="e">
        <f>VLOOKUP("前"&amp;$B15&amp;Y$31,'２部北対戦表'!$R$1:$U$89,4,FALSE)</f>
        <v>#N/A</v>
      </c>
      <c r="X15" s="402"/>
      <c r="Y15" s="402"/>
      <c r="Z15" s="402"/>
      <c r="AA15" s="403"/>
      <c r="AB15" s="401" t="e">
        <f>VLOOKUP("前"&amp;$B15&amp;AD$31,'２部北対戦表'!$R$1:$U$89,4,FALSE)</f>
        <v>#N/A</v>
      </c>
      <c r="AC15" s="402"/>
      <c r="AD15" s="402"/>
      <c r="AE15" s="402"/>
      <c r="AF15" s="404"/>
      <c r="AG15" s="386"/>
      <c r="AH15" s="376"/>
      <c r="AI15" s="376"/>
      <c r="AJ15" s="377"/>
      <c r="AK15" s="165"/>
      <c r="AL15" s="165"/>
      <c r="AM15" s="165"/>
      <c r="AN15" s="381"/>
      <c r="AP15" s="159"/>
      <c r="AQ15" s="51"/>
      <c r="AR15" s="20" t="s">
        <v>90</v>
      </c>
      <c r="AS15" s="20" t="s">
        <v>91</v>
      </c>
      <c r="AT15" s="20" t="s">
        <v>92</v>
      </c>
      <c r="AU15" s="21"/>
      <c r="AV15" s="21" t="s">
        <v>98</v>
      </c>
      <c r="AW15" s="55">
        <f>IF(AND(AR14=0,AS14=0,AT14=0),0,+AJ13*1000+AM13)</f>
        <v>0</v>
      </c>
      <c r="AY15" s="53" t="e">
        <f>IF(D16&lt;&gt;"",D16,0)</f>
        <v>#N/A</v>
      </c>
      <c r="AZ15" s="53" t="e">
        <f>IF(I16&lt;&gt;"",I16,0)</f>
        <v>#N/A</v>
      </c>
      <c r="BA15" s="53">
        <f>IF(N16&lt;&gt;"",N16,0)</f>
        <v>0</v>
      </c>
      <c r="BB15" s="53" t="e">
        <f>IF(S16&lt;&gt;"",S16,0)</f>
        <v>#N/A</v>
      </c>
    </row>
    <row r="16" spans="2:54" ht="24" customHeight="1">
      <c r="B16" s="245"/>
      <c r="C16" s="407" t="s">
        <v>78</v>
      </c>
      <c r="D16" s="407" t="e">
        <f>VLOOKUP("後"&amp;$B13&amp;E$31,'２部北対戦表'!$R$1:$U$89,2,FALSE)</f>
        <v>#N/A</v>
      </c>
      <c r="E16" s="407" t="e">
        <f>IF(D16&lt;&gt;"",IF(D16&gt;F16,"○",IF(D16&lt;F16,"●","△")),"")</f>
        <v>#N/A</v>
      </c>
      <c r="F16" s="407" t="e">
        <f>VLOOKUP("後"&amp;$B13&amp;E$31,'２部北対戦表'!$R$1:$U$89,3,FALSE)</f>
        <v>#N/A</v>
      </c>
      <c r="G16" s="407" t="s">
        <v>79</v>
      </c>
      <c r="H16" s="406" t="s">
        <v>78</v>
      </c>
      <c r="I16" s="407" t="e">
        <f>VLOOKUP("後"&amp;$B13&amp;J$31,'２部北対戦表'!$R$1:$U$89,2,FALSE)</f>
        <v>#N/A</v>
      </c>
      <c r="J16" s="407" t="e">
        <f>IF(I16&lt;&gt;"",IF(I16&gt;K16,"○",IF(I16&lt;K16,"●","△")),"")</f>
        <v>#N/A</v>
      </c>
      <c r="K16" s="407" t="e">
        <f>VLOOKUP("後"&amp;$B13&amp;J$31,'２部北対戦表'!$R$1:$U$89,3,FALSE)</f>
        <v>#N/A</v>
      </c>
      <c r="L16" s="408" t="s">
        <v>79</v>
      </c>
      <c r="M16" s="393"/>
      <c r="N16" s="393"/>
      <c r="O16" s="393"/>
      <c r="P16" s="393"/>
      <c r="Q16" s="393"/>
      <c r="R16" s="406" t="s">
        <v>78</v>
      </c>
      <c r="S16" s="407" t="e">
        <f>VLOOKUP("後"&amp;$B13&amp;T$31,'２部北対戦表'!$R$1:$U$89,2,FALSE)</f>
        <v>#N/A</v>
      </c>
      <c r="T16" s="407" t="e">
        <f>IF(S16&lt;&gt;"",IF(S16&gt;U16,"○",IF(S16&lt;U16,"●","△")),"")</f>
        <v>#N/A</v>
      </c>
      <c r="U16" s="407" t="e">
        <f>VLOOKUP("後"&amp;$B13&amp;T$31,'２部北対戦表'!$R$1:$U$89,3,FALSE)</f>
        <v>#N/A</v>
      </c>
      <c r="V16" s="408" t="s">
        <v>79</v>
      </c>
      <c r="W16" s="409" t="s">
        <v>78</v>
      </c>
      <c r="X16" s="410" t="e">
        <f>VLOOKUP("前"&amp;$B15&amp;Y$31,'２部北対戦表'!$R$1:$U$89,2,FALSE)</f>
        <v>#N/A</v>
      </c>
      <c r="Y16" s="410" t="e">
        <f>IF(X16&lt;&gt;"",IF(X16&gt;Z16,"○",IF(X16&lt;Z16,"●","△")),"")</f>
        <v>#N/A</v>
      </c>
      <c r="Z16" s="410" t="e">
        <f>VLOOKUP("前"&amp;$B15&amp;Y$31,'２部北対戦表'!$R$1:$U$89,3,FALSE)</f>
        <v>#N/A</v>
      </c>
      <c r="AA16" s="411" t="s">
        <v>79</v>
      </c>
      <c r="AB16" s="409" t="s">
        <v>78</v>
      </c>
      <c r="AC16" s="410" t="e">
        <f>VLOOKUP("前"&amp;$B15&amp;AD$31,'２部北対戦表'!$R$1:$U$89,2,FALSE)</f>
        <v>#N/A</v>
      </c>
      <c r="AD16" s="410" t="e">
        <f>IF(AC16&lt;&gt;"",IF(AC16&gt;AE16,"○",IF(AC16&lt;AE16,"●","△")),"")</f>
        <v>#N/A</v>
      </c>
      <c r="AE16" s="410" t="e">
        <f>VLOOKUP("前"&amp;$B15&amp;AD$31,'２部北対戦表'!$R$1:$U$89,3,FALSE)</f>
        <v>#N/A</v>
      </c>
      <c r="AF16" s="412" t="s">
        <v>79</v>
      </c>
      <c r="AG16" s="386"/>
      <c r="AH16" s="376"/>
      <c r="AI16" s="376"/>
      <c r="AJ16" s="377"/>
      <c r="AK16" s="165"/>
      <c r="AL16" s="165"/>
      <c r="AM16" s="165"/>
      <c r="AN16" s="381"/>
      <c r="AR16" s="20" t="e">
        <f>SUM(AY13:BB13)+SUM(#REF!)+SUM(AY15:BB15)</f>
        <v>#REF!</v>
      </c>
      <c r="AS16" s="20" t="e">
        <f>SUM(AY14:BB14)+SUM(#REF!)+SUM(AY16:BB16)</f>
        <v>#REF!</v>
      </c>
      <c r="AT16" t="e">
        <f>+AR16-AS16</f>
        <v>#REF!</v>
      </c>
      <c r="AU16" s="21"/>
      <c r="AY16" s="54" t="e">
        <f>IF(F16&lt;&gt;"",F16,0)</f>
        <v>#N/A</v>
      </c>
      <c r="AZ16" s="54" t="e">
        <f>IF(K16&lt;&gt;"",K16,0)</f>
        <v>#N/A</v>
      </c>
      <c r="BA16" s="54">
        <f>IF(P16&lt;&gt;"",P16,0)</f>
        <v>0</v>
      </c>
      <c r="BB16" s="54" t="e">
        <f>IF(U16&lt;&gt;"",U16,0)</f>
        <v>#N/A</v>
      </c>
    </row>
    <row r="17" spans="2:54" ht="24" customHeight="1" thickBot="1">
      <c r="B17" s="3" t="s">
        <v>0</v>
      </c>
      <c r="C17" s="414">
        <f>VLOOKUP("前"&amp;$B17&amp;E$31,'２部北対戦表'!$R$1:$U$89,4,FALSE)</f>
        <v>40343</v>
      </c>
      <c r="D17" s="414"/>
      <c r="E17" s="414"/>
      <c r="F17" s="414"/>
      <c r="G17" s="415"/>
      <c r="H17" s="419">
        <f>VLOOKUP("前"&amp;$B17&amp;J$31,'２部北対戦表'!$R$1:$U$89,4,FALSE)</f>
        <v>40336</v>
      </c>
      <c r="I17" s="414"/>
      <c r="J17" s="414"/>
      <c r="K17" s="414"/>
      <c r="L17" s="415"/>
      <c r="M17" s="419">
        <f>VLOOKUP("前"&amp;$B17&amp;O$31,'２部北対戦表'!$R$1:$U$89,4,FALSE)</f>
        <v>40315</v>
      </c>
      <c r="N17" s="414"/>
      <c r="O17" s="414"/>
      <c r="P17" s="414"/>
      <c r="Q17" s="415"/>
      <c r="R17" s="416"/>
      <c r="S17" s="417"/>
      <c r="T17" s="417"/>
      <c r="U17" s="417"/>
      <c r="V17" s="418"/>
      <c r="W17" s="419">
        <v>40357</v>
      </c>
      <c r="X17" s="414"/>
      <c r="Y17" s="414"/>
      <c r="Z17" s="414"/>
      <c r="AA17" s="415"/>
      <c r="AB17" s="419">
        <v>40371</v>
      </c>
      <c r="AC17" s="414"/>
      <c r="AD17" s="414"/>
      <c r="AE17" s="414"/>
      <c r="AF17" s="420"/>
      <c r="AG17" s="386">
        <f>IF(AND($AR18=0,$AS18=0,$AT18=0),"",AR18)</f>
      </c>
      <c r="AH17" s="376">
        <f>IF(AND($AR18=0,$AS18=0,$AT18=0),"",AS18)</f>
      </c>
      <c r="AI17" s="376">
        <f>IF(AND($AR18=0,$AS18=0,$AT18=0),"",AT18)</f>
      </c>
      <c r="AJ17" s="377">
        <f>IF(AND($AR18=0,$AS18=0,$AT18=0),"",AU18+AP18)</f>
      </c>
      <c r="AK17" s="165">
        <f>IF(AND($AR18=0,$AS18=0,$AT18=0),"",AR20)</f>
      </c>
      <c r="AL17" s="165">
        <f>IF(AND($AR18=0,$AS18=0,$AT18=0),"",AS20)</f>
      </c>
      <c r="AM17" s="165">
        <f>IF(AND($AR18=0,$AS18=0,$AT18=0),"",AT20)</f>
      </c>
      <c r="AN17" s="381">
        <f>IF(AND($AR18=0,$AS18=0,$AT18=0),"",RANK(AW19,AW$7:AW$20))</f>
      </c>
      <c r="AR17" s="57" t="s">
        <v>86</v>
      </c>
      <c r="AS17" s="57" t="s">
        <v>87</v>
      </c>
      <c r="AT17" s="57" t="s">
        <v>88</v>
      </c>
      <c r="AU17" s="57" t="s">
        <v>89</v>
      </c>
      <c r="AY17" s="52">
        <f>IF(D18&lt;&gt;"",D18,0)</f>
        <v>0</v>
      </c>
      <c r="AZ17" s="52">
        <f>IF(I18&lt;&gt;"",I18,0)</f>
        <v>0</v>
      </c>
      <c r="BA17" s="52">
        <f>IF(N18&lt;&gt;"",N18,0)</f>
        <v>0</v>
      </c>
      <c r="BB17" s="52">
        <f>IF(S18&lt;&gt;"",S18,0)</f>
        <v>0</v>
      </c>
    </row>
    <row r="18" spans="2:54" ht="24" customHeight="1">
      <c r="B18" s="244" t="str">
        <f>VLOOKUP(B17,'参加チーム'!$B$5:$F$73,IF($AG$3=1,3,4),FALSE)</f>
        <v>ステラミーゴ</v>
      </c>
      <c r="C18" s="395" t="s">
        <v>78</v>
      </c>
      <c r="D18" s="395">
        <f>VLOOKUP("前"&amp;$B17&amp;E$31,'２部北対戦表'!$R$1:$U$89,2,FALSE)</f>
      </c>
      <c r="E18" s="395">
        <f>IF(D18&lt;&gt;"",IF(D18&gt;F18,"○",IF(D18&lt;F18,"●","△")),"")</f>
      </c>
      <c r="F18" s="395">
        <f>VLOOKUP("前"&amp;$B17&amp;E$31,'２部北対戦表'!$R$1:$U$89,3,FALSE)</f>
      </c>
      <c r="G18" s="396" t="s">
        <v>79</v>
      </c>
      <c r="H18" s="394" t="s">
        <v>78</v>
      </c>
      <c r="I18" s="395">
        <f>VLOOKUP("前"&amp;$B17&amp;J$31,'２部北対戦表'!$R$1:$U$89,2,FALSE)</f>
      </c>
      <c r="J18" s="395">
        <f>IF(I18&lt;&gt;"",IF(I18&gt;K18,"○",IF(I18&lt;K18,"●","△")),"")</f>
      </c>
      <c r="K18" s="395">
        <f>VLOOKUP("前"&amp;$B17&amp;J$31,'２部北対戦表'!$R$1:$U$89,3,FALSE)</f>
      </c>
      <c r="L18" s="396" t="s">
        <v>79</v>
      </c>
      <c r="M18" s="394" t="s">
        <v>78</v>
      </c>
      <c r="N18" s="395">
        <f>VLOOKUP("前"&amp;$B17&amp;O$31,'２部北対戦表'!$R$1:$U$89,2,FALSE)</f>
      </c>
      <c r="O18" s="395">
        <f>IF(N18&lt;&gt;"",IF(N18&gt;P18,"○",IF(N18&lt;P18,"●","△")),"")</f>
      </c>
      <c r="P18" s="395">
        <f>VLOOKUP("前"&amp;$B17&amp;O$31,'２部北対戦表'!$R$1:$U$89,3,FALSE)</f>
      </c>
      <c r="Q18" s="396" t="s">
        <v>79</v>
      </c>
      <c r="R18" s="421"/>
      <c r="S18" s="393"/>
      <c r="T18" s="393"/>
      <c r="U18" s="393"/>
      <c r="V18" s="422"/>
      <c r="W18" s="394" t="s">
        <v>78</v>
      </c>
      <c r="X18" s="395"/>
      <c r="Y18" s="395"/>
      <c r="Z18" s="395"/>
      <c r="AA18" s="396" t="s">
        <v>79</v>
      </c>
      <c r="AB18" s="394" t="s">
        <v>78</v>
      </c>
      <c r="AC18" s="395"/>
      <c r="AD18" s="395"/>
      <c r="AE18" s="395"/>
      <c r="AF18" s="397" t="s">
        <v>79</v>
      </c>
      <c r="AG18" s="386"/>
      <c r="AH18" s="376"/>
      <c r="AI18" s="376"/>
      <c r="AJ18" s="377"/>
      <c r="AK18" s="165"/>
      <c r="AL18" s="165"/>
      <c r="AM18" s="165"/>
      <c r="AN18" s="381"/>
      <c r="AP18" s="158"/>
      <c r="AQ18" s="51"/>
      <c r="AR18" s="22">
        <f>COUNTIF($C17:$AF20,"○")</f>
        <v>0</v>
      </c>
      <c r="AS18" s="22">
        <f>COUNTIF($C17:$AF20,"△")</f>
        <v>0</v>
      </c>
      <c r="AT18" s="22">
        <f>COUNTIF($C17:$AF20,"●")</f>
        <v>0</v>
      </c>
      <c r="AU18" s="57">
        <f>AR18*3+AS18</f>
        <v>0</v>
      </c>
      <c r="AY18" s="53">
        <f>IF(F18&lt;&gt;"",F18,0)</f>
        <v>0</v>
      </c>
      <c r="AZ18" s="53">
        <f>IF(K18&lt;&gt;"",K18,0)</f>
        <v>0</v>
      </c>
      <c r="BA18" s="53">
        <f>IF(P18&lt;&gt;"",P18,0)</f>
        <v>0</v>
      </c>
      <c r="BB18" s="53">
        <f>IF(U18&lt;&gt;"",U18,0)</f>
        <v>0</v>
      </c>
    </row>
    <row r="19" spans="2:54" ht="24" customHeight="1" thickBot="1">
      <c r="B19" s="244"/>
      <c r="C19" s="399" t="e">
        <f>VLOOKUP("後"&amp;$B17&amp;E$31,'２部北対戦表'!$R$1:$U$89,4,FALSE)</f>
        <v>#N/A</v>
      </c>
      <c r="D19" s="399"/>
      <c r="E19" s="399"/>
      <c r="F19" s="399"/>
      <c r="G19" s="400"/>
      <c r="H19" s="398" t="e">
        <f>VLOOKUP("後"&amp;$B17&amp;J$31,'２部北対戦表'!$R$1:$U$89,4,FALSE)</f>
        <v>#N/A</v>
      </c>
      <c r="I19" s="399"/>
      <c r="J19" s="399"/>
      <c r="K19" s="399"/>
      <c r="L19" s="400"/>
      <c r="M19" s="398" t="e">
        <f>VLOOKUP("後"&amp;$B17&amp;O$31,'２部北対戦表'!$R$1:$U$89,4,FALSE)</f>
        <v>#N/A</v>
      </c>
      <c r="N19" s="399"/>
      <c r="O19" s="399"/>
      <c r="P19" s="399"/>
      <c r="Q19" s="400"/>
      <c r="R19" s="421"/>
      <c r="S19" s="393"/>
      <c r="T19" s="393"/>
      <c r="U19" s="393"/>
      <c r="V19" s="422"/>
      <c r="W19" s="398" t="e">
        <f>VLOOKUP("後"&amp;$B17&amp;Y$31,'２部北対戦表'!$R$1:$U$89,4,FALSE)</f>
        <v>#N/A</v>
      </c>
      <c r="X19" s="399"/>
      <c r="Y19" s="399"/>
      <c r="Z19" s="399"/>
      <c r="AA19" s="400"/>
      <c r="AB19" s="398" t="e">
        <f>VLOOKUP("後"&amp;$B17&amp;AD$31,'２部北対戦表'!$R$1:$U$89,4,FALSE)</f>
        <v>#N/A</v>
      </c>
      <c r="AC19" s="399"/>
      <c r="AD19" s="399"/>
      <c r="AE19" s="399"/>
      <c r="AF19" s="425"/>
      <c r="AG19" s="386"/>
      <c r="AH19" s="376"/>
      <c r="AI19" s="376"/>
      <c r="AJ19" s="377"/>
      <c r="AK19" s="165"/>
      <c r="AL19" s="165"/>
      <c r="AM19" s="165"/>
      <c r="AN19" s="381"/>
      <c r="AP19" s="159"/>
      <c r="AQ19" s="51"/>
      <c r="AR19" s="20" t="s">
        <v>90</v>
      </c>
      <c r="AS19" s="20" t="s">
        <v>91</v>
      </c>
      <c r="AT19" s="20" t="s">
        <v>92</v>
      </c>
      <c r="AU19" s="21"/>
      <c r="AV19" s="21" t="s">
        <v>98</v>
      </c>
      <c r="AW19" s="55">
        <f>IF(AND(AR18=0,AS18=0,AT18=0),0,+AJ17*1000+AM17)</f>
        <v>0</v>
      </c>
      <c r="AY19" s="53" t="e">
        <f>IF(D20&lt;&gt;"",D20,0)</f>
        <v>#N/A</v>
      </c>
      <c r="AZ19" s="53" t="e">
        <f>IF(I20&lt;&gt;"",I20,0)</f>
        <v>#N/A</v>
      </c>
      <c r="BA19" s="53" t="e">
        <f>IF(N20&lt;&gt;"",N20,0)</f>
        <v>#N/A</v>
      </c>
      <c r="BB19" s="53">
        <f>IF(S20&lt;&gt;"",S20,0)</f>
        <v>0</v>
      </c>
    </row>
    <row r="20" spans="2:54" ht="24" customHeight="1">
      <c r="B20" s="245"/>
      <c r="C20" s="407" t="s">
        <v>78</v>
      </c>
      <c r="D20" s="407" t="e">
        <f>VLOOKUP("後"&amp;$B17&amp;E$31,'２部北対戦表'!$R$1:$U$89,2,FALSE)</f>
        <v>#N/A</v>
      </c>
      <c r="E20" s="407" t="e">
        <f>IF(D20&lt;&gt;"",IF(D20&gt;F20,"○",IF(D20&lt;F20,"●","△")),"")</f>
        <v>#N/A</v>
      </c>
      <c r="F20" s="407" t="e">
        <f>VLOOKUP("後"&amp;$B17&amp;E$31,'２部北対戦表'!$R$1:$U$89,3,FALSE)</f>
        <v>#N/A</v>
      </c>
      <c r="G20" s="408" t="s">
        <v>79</v>
      </c>
      <c r="H20" s="406" t="s">
        <v>78</v>
      </c>
      <c r="I20" s="407" t="e">
        <f>VLOOKUP("後"&amp;$B17&amp;J$31,'２部北対戦表'!$R$1:$U$89,2,FALSE)</f>
        <v>#N/A</v>
      </c>
      <c r="J20" s="407" t="e">
        <f>IF(I20&lt;&gt;"",IF(I20&gt;K20,"○",IF(I20&lt;K20,"●","△")),"")</f>
        <v>#N/A</v>
      </c>
      <c r="K20" s="407" t="e">
        <f>VLOOKUP("後"&amp;$B17&amp;J$31,'２部北対戦表'!$R$1:$U$89,3,FALSE)</f>
        <v>#N/A</v>
      </c>
      <c r="L20" s="408" t="s">
        <v>79</v>
      </c>
      <c r="M20" s="406" t="s">
        <v>78</v>
      </c>
      <c r="N20" s="407" t="e">
        <f>VLOOKUP("後"&amp;$B17&amp;O$31,'２部北対戦表'!$R$1:$U$89,2,FALSE)</f>
        <v>#N/A</v>
      </c>
      <c r="O20" s="407" t="e">
        <f>IF(N20&lt;&gt;"",IF(N20&gt;P20,"○",IF(N20&lt;P20,"●","△")),"")</f>
        <v>#N/A</v>
      </c>
      <c r="P20" s="407" t="e">
        <f>VLOOKUP("後"&amp;$B17&amp;O$31,'２部北対戦表'!$R$1:$U$89,3,FALSE)</f>
        <v>#N/A</v>
      </c>
      <c r="Q20" s="408" t="s">
        <v>79</v>
      </c>
      <c r="R20" s="421"/>
      <c r="S20" s="393"/>
      <c r="T20" s="393"/>
      <c r="U20" s="393"/>
      <c r="V20" s="422"/>
      <c r="W20" s="406" t="s">
        <v>78</v>
      </c>
      <c r="X20" s="407" t="e">
        <f>VLOOKUP("後"&amp;$B17&amp;Y$31,'２部北対戦表'!$R$1:$U$89,2,FALSE)</f>
        <v>#N/A</v>
      </c>
      <c r="Y20" s="407" t="e">
        <f>IF(X20&lt;&gt;"",IF(X20&gt;Z20,"○",IF(X20&lt;Z20,"●","△")),"")</f>
        <v>#N/A</v>
      </c>
      <c r="Z20" s="407" t="e">
        <f>VLOOKUP("後"&amp;$B17&amp;Y$31,'２部北対戦表'!$R$1:$U$89,3,FALSE)</f>
        <v>#N/A</v>
      </c>
      <c r="AA20" s="408" t="s">
        <v>79</v>
      </c>
      <c r="AB20" s="406" t="s">
        <v>78</v>
      </c>
      <c r="AC20" s="407" t="e">
        <f>VLOOKUP("後"&amp;$B17&amp;AD$31,'２部北対戦表'!$R$1:$U$89,2,FALSE)</f>
        <v>#N/A</v>
      </c>
      <c r="AD20" s="407" t="e">
        <f>IF(AC20&lt;&gt;"",IF(AC20&gt;AE20,"○",IF(AC20&lt;AE20,"●","△")),"")</f>
        <v>#N/A</v>
      </c>
      <c r="AE20" s="407" t="e">
        <f>VLOOKUP("後"&amp;$B17&amp;AD$31,'２部北対戦表'!$R$1:$U$89,3,FALSE)</f>
        <v>#N/A</v>
      </c>
      <c r="AF20" s="426" t="s">
        <v>79</v>
      </c>
      <c r="AG20" s="386"/>
      <c r="AH20" s="376"/>
      <c r="AI20" s="376"/>
      <c r="AJ20" s="377"/>
      <c r="AK20" s="165"/>
      <c r="AL20" s="165"/>
      <c r="AM20" s="165"/>
      <c r="AN20" s="381"/>
      <c r="AR20" s="20" t="e">
        <f>SUM(AY17:BB17)+SUM(#REF!)+SUM(AY19:BB19)</f>
        <v>#REF!</v>
      </c>
      <c r="AS20" s="20" t="e">
        <f>SUM(AY18:BB18)+SUM(#REF!)+SUM(AY20:BB20)</f>
        <v>#REF!</v>
      </c>
      <c r="AT20" t="e">
        <f>+AR20-AS20</f>
        <v>#REF!</v>
      </c>
      <c r="AU20" s="21"/>
      <c r="AY20" s="54" t="e">
        <f>IF(F20&lt;&gt;"",F20,0)</f>
        <v>#N/A</v>
      </c>
      <c r="AZ20" s="54" t="e">
        <f>IF(K20&lt;&gt;"",K20,0)</f>
        <v>#N/A</v>
      </c>
      <c r="BA20" s="54" t="e">
        <f>IF(P20&lt;&gt;"",P20,0)</f>
        <v>#N/A</v>
      </c>
      <c r="BB20" s="54">
        <f>IF(U20&lt;&gt;"",U20,0)</f>
        <v>0</v>
      </c>
    </row>
    <row r="21" spans="2:54" ht="24" customHeight="1" thickBot="1">
      <c r="B21" s="3" t="s">
        <v>2</v>
      </c>
      <c r="C21" s="414">
        <f>VLOOKUP("前"&amp;$B21&amp;E$31,'２部北対戦表'!$R$1:$U$89,4,FALSE)</f>
        <v>40336</v>
      </c>
      <c r="D21" s="414"/>
      <c r="E21" s="414"/>
      <c r="F21" s="414"/>
      <c r="G21" s="415"/>
      <c r="H21" s="419">
        <f>VLOOKUP("前"&amp;$B21&amp;J$31,'２部北対戦表'!$R$1:$U$89,4,FALSE)</f>
        <v>40315</v>
      </c>
      <c r="I21" s="414"/>
      <c r="J21" s="414"/>
      <c r="K21" s="414"/>
      <c r="L21" s="415"/>
      <c r="M21" s="419">
        <v>40371</v>
      </c>
      <c r="N21" s="414"/>
      <c r="O21" s="414"/>
      <c r="P21" s="414"/>
      <c r="Q21" s="415"/>
      <c r="R21" s="419">
        <v>40357</v>
      </c>
      <c r="S21" s="414"/>
      <c r="T21" s="414"/>
      <c r="U21" s="414"/>
      <c r="V21" s="415"/>
      <c r="W21" s="417"/>
      <c r="X21" s="417"/>
      <c r="Y21" s="417"/>
      <c r="Z21" s="417"/>
      <c r="AA21" s="417"/>
      <c r="AB21" s="419">
        <f>VLOOKUP("前"&amp;$B21&amp;AD$31,'２部北対戦表'!$R$1:$U$89,4,FALSE)</f>
        <v>40343</v>
      </c>
      <c r="AC21" s="414"/>
      <c r="AD21" s="414"/>
      <c r="AE21" s="414"/>
      <c r="AF21" s="420"/>
      <c r="AG21" s="386">
        <f>IF(AND($AR22=0,$AS22=0,$AT22=0),"",AR22)</f>
      </c>
      <c r="AH21" s="376">
        <f>IF(AND($AR22=0,$AS22=0,$AT22=0),"",AS22)</f>
      </c>
      <c r="AI21" s="376">
        <f>IF(AND($AR22=0,$AS22=0,$AT22=0),"",AT22)</f>
      </c>
      <c r="AJ21" s="377">
        <f>IF(AND($AR22=0,$AS22=0,$AT22=0),"",AU22+AP22)</f>
      </c>
      <c r="AK21" s="165">
        <f>IF(AND($AR22=0,$AS22=0,$AT22=0),"",AR24)</f>
      </c>
      <c r="AL21" s="165">
        <f>IF(AND($AR22=0,$AS22=0,$AT22=0),"",AS24)</f>
      </c>
      <c r="AM21" s="165">
        <f>IF(AND($AR22=0,$AS22=0,$AT22=0),"",AT24)</f>
      </c>
      <c r="AN21" s="381">
        <f>IF(AND($AR22=0,$AS22=0,$AT22=0),"",RANK(AW23,AW$7:AW$27))</f>
      </c>
      <c r="AR21" s="57" t="s">
        <v>86</v>
      </c>
      <c r="AS21" s="57" t="s">
        <v>87</v>
      </c>
      <c r="AT21" s="57" t="s">
        <v>88</v>
      </c>
      <c r="AU21" s="57" t="s">
        <v>89</v>
      </c>
      <c r="AY21" s="52">
        <f>IF(D22&lt;&gt;"",D22,0)</f>
        <v>0</v>
      </c>
      <c r="AZ21" s="52">
        <f>IF(I22&lt;&gt;"",I22,0)</f>
        <v>0</v>
      </c>
      <c r="BA21" s="52">
        <f>IF(N22&lt;&gt;"",N22,0)</f>
        <v>0</v>
      </c>
      <c r="BB21" s="52">
        <f>IF(S22&lt;&gt;"",S22,0)</f>
        <v>0</v>
      </c>
    </row>
    <row r="22" spans="2:54" ht="24" customHeight="1">
      <c r="B22" s="244" t="str">
        <f>VLOOKUP(B21,'参加チーム'!$B$5:$F$73,IF($AG$3=1,3,4),FALSE)</f>
        <v>Rion</v>
      </c>
      <c r="C22" s="395" t="s">
        <v>78</v>
      </c>
      <c r="D22" s="395">
        <f>VLOOKUP("前"&amp;$B21&amp;E$31,'２部北対戦表'!$R$1:$U$89,2,FALSE)</f>
      </c>
      <c r="E22" s="395">
        <f>IF(D22&lt;&gt;"",IF(D22&gt;F22,"○",IF(D22&lt;F22,"●","△")),"")</f>
      </c>
      <c r="F22" s="395">
        <f>VLOOKUP("前"&amp;$B21&amp;E$31,'２部北対戦表'!$R$1:$U$89,3,FALSE)</f>
      </c>
      <c r="G22" s="396" t="s">
        <v>79</v>
      </c>
      <c r="H22" s="394" t="s">
        <v>78</v>
      </c>
      <c r="I22" s="395">
        <f>VLOOKUP("前"&amp;$B21&amp;J$31,'２部北対戦表'!$R$1:$U$89,2,FALSE)</f>
      </c>
      <c r="J22" s="395">
        <f>IF(I22&lt;&gt;"",IF(I22&gt;K22,"○",IF(I22&lt;K22,"●","△")),"")</f>
      </c>
      <c r="K22" s="395">
        <f>VLOOKUP("前"&amp;$B21&amp;J$31,'２部北対戦表'!$R$1:$U$89,3,FALSE)</f>
      </c>
      <c r="L22" s="396" t="s">
        <v>79</v>
      </c>
      <c r="M22" s="394" t="s">
        <v>78</v>
      </c>
      <c r="N22" s="395"/>
      <c r="O22" s="395"/>
      <c r="P22" s="395"/>
      <c r="Q22" s="396" t="s">
        <v>79</v>
      </c>
      <c r="R22" s="394" t="s">
        <v>78</v>
      </c>
      <c r="S22" s="395"/>
      <c r="T22" s="395"/>
      <c r="U22" s="395"/>
      <c r="V22" s="396" t="s">
        <v>79</v>
      </c>
      <c r="W22" s="393"/>
      <c r="X22" s="393"/>
      <c r="Y22" s="393"/>
      <c r="Z22" s="393"/>
      <c r="AA22" s="393"/>
      <c r="AB22" s="394" t="s">
        <v>78</v>
      </c>
      <c r="AC22" s="395">
        <f>VLOOKUP("前"&amp;$B21&amp;AD$31,'２部北対戦表'!$R$1:$U$89,2,FALSE)</f>
      </c>
      <c r="AD22" s="395">
        <f>IF(AC22&lt;&gt;"",IF(AC22&gt;AE22,"○",IF(AC22&lt;AE22,"●","△")),"")</f>
      </c>
      <c r="AE22" s="395">
        <f>VLOOKUP("前"&amp;$B21&amp;AD$31,'２部北対戦表'!$R$1:$U$89,3,FALSE)</f>
      </c>
      <c r="AF22" s="397" t="s">
        <v>79</v>
      </c>
      <c r="AG22" s="386"/>
      <c r="AH22" s="376"/>
      <c r="AI22" s="376"/>
      <c r="AJ22" s="377"/>
      <c r="AK22" s="165"/>
      <c r="AL22" s="165"/>
      <c r="AM22" s="165"/>
      <c r="AN22" s="381"/>
      <c r="AP22" s="158"/>
      <c r="AQ22" s="51"/>
      <c r="AR22" s="22">
        <f>COUNTIF($C21:$AF24,"○")</f>
        <v>0</v>
      </c>
      <c r="AS22" s="22">
        <f>COUNTIF($C21:$AF24,"△")</f>
        <v>0</v>
      </c>
      <c r="AT22" s="22">
        <f>COUNTIF($C21:$AF24,"●")</f>
        <v>0</v>
      </c>
      <c r="AU22" s="57">
        <f>AR22*3+AS22</f>
        <v>0</v>
      </c>
      <c r="AY22" s="53">
        <f>IF(F22&lt;&gt;"",F22,0)</f>
        <v>0</v>
      </c>
      <c r="AZ22" s="53">
        <f>IF(K22&lt;&gt;"",K22,0)</f>
        <v>0</v>
      </c>
      <c r="BA22" s="53">
        <f>IF(P22&lt;&gt;"",P22,0)</f>
        <v>0</v>
      </c>
      <c r="BB22" s="53">
        <f>IF(U22&lt;&gt;"",U22,0)</f>
        <v>0</v>
      </c>
    </row>
    <row r="23" spans="2:54" ht="24" customHeight="1" thickBot="1">
      <c r="B23" s="244"/>
      <c r="C23" s="399" t="e">
        <f>VLOOKUP("後"&amp;$B21&amp;E$31,'２部北対戦表'!$R$1:$U$89,4,FALSE)</f>
        <v>#N/A</v>
      </c>
      <c r="D23" s="399"/>
      <c r="E23" s="399"/>
      <c r="F23" s="399"/>
      <c r="G23" s="400"/>
      <c r="H23" s="398" t="e">
        <f>VLOOKUP("後"&amp;$B21&amp;J$31,'２部北対戦表'!$R$1:$U$89,4,FALSE)</f>
        <v>#N/A</v>
      </c>
      <c r="I23" s="399"/>
      <c r="J23" s="399"/>
      <c r="K23" s="399"/>
      <c r="L23" s="400"/>
      <c r="M23" s="398" t="e">
        <f>VLOOKUP("後"&amp;$B21&amp;O$31,'２部北対戦表'!$R$1:$U$89,4,FALSE)</f>
        <v>#N/A</v>
      </c>
      <c r="N23" s="399"/>
      <c r="O23" s="399"/>
      <c r="P23" s="399"/>
      <c r="Q23" s="400"/>
      <c r="R23" s="398" t="e">
        <f>VLOOKUP("後"&amp;$B21&amp;T$31,'２部北対戦表'!$R$1:$U$89,4,FALSE)</f>
        <v>#N/A</v>
      </c>
      <c r="S23" s="399"/>
      <c r="T23" s="399"/>
      <c r="U23" s="399"/>
      <c r="V23" s="400"/>
      <c r="W23" s="393"/>
      <c r="X23" s="393"/>
      <c r="Y23" s="393"/>
      <c r="Z23" s="393"/>
      <c r="AA23" s="393"/>
      <c r="AB23" s="398" t="e">
        <f>VLOOKUP("後"&amp;$B21&amp;AD$31,'２部北対戦表'!$R$1:$U$89,4,FALSE)</f>
        <v>#N/A</v>
      </c>
      <c r="AC23" s="399"/>
      <c r="AD23" s="399"/>
      <c r="AE23" s="399"/>
      <c r="AF23" s="425"/>
      <c r="AG23" s="386"/>
      <c r="AH23" s="376"/>
      <c r="AI23" s="376"/>
      <c r="AJ23" s="377"/>
      <c r="AK23" s="165"/>
      <c r="AL23" s="165"/>
      <c r="AM23" s="165"/>
      <c r="AN23" s="381"/>
      <c r="AP23" s="159"/>
      <c r="AQ23" s="51"/>
      <c r="AR23" s="20" t="s">
        <v>90</v>
      </c>
      <c r="AS23" s="20" t="s">
        <v>91</v>
      </c>
      <c r="AT23" s="20" t="s">
        <v>92</v>
      </c>
      <c r="AU23" s="21"/>
      <c r="AV23" s="21" t="s">
        <v>98</v>
      </c>
      <c r="AW23" s="55">
        <f>IF(AND(AR22=0,AS22=0,AT22=0),0,+AJ21*1000+AM21)</f>
        <v>0</v>
      </c>
      <c r="AY23" s="53" t="e">
        <f>IF(D24&lt;&gt;"",D24,0)</f>
        <v>#N/A</v>
      </c>
      <c r="AZ23" s="53" t="e">
        <f>IF(I24&lt;&gt;"",I24,0)</f>
        <v>#N/A</v>
      </c>
      <c r="BA23" s="53" t="e">
        <f>IF(N24&lt;&gt;"",N24,0)</f>
        <v>#N/A</v>
      </c>
      <c r="BB23" s="53" t="e">
        <f>IF(S24&lt;&gt;"",S24,0)</f>
        <v>#N/A</v>
      </c>
    </row>
    <row r="24" spans="2:54" ht="24" customHeight="1">
      <c r="B24" s="245"/>
      <c r="C24" s="407" t="s">
        <v>78</v>
      </c>
      <c r="D24" s="407" t="e">
        <f>VLOOKUP("後"&amp;$B21&amp;E$31,'２部北対戦表'!$R$1:$U$89,2,FALSE)</f>
        <v>#N/A</v>
      </c>
      <c r="E24" s="407" t="e">
        <f>IF(D24&lt;&gt;"",IF(D24&gt;F24,"○",IF(D24&lt;F24,"●","△")),"")</f>
        <v>#N/A</v>
      </c>
      <c r="F24" s="407" t="e">
        <f>VLOOKUP("後"&amp;$B21&amp;E$31,'２部北対戦表'!$R$1:$U$89,3,FALSE)</f>
        <v>#N/A</v>
      </c>
      <c r="G24" s="408" t="s">
        <v>79</v>
      </c>
      <c r="H24" s="406" t="s">
        <v>78</v>
      </c>
      <c r="I24" s="407" t="e">
        <f>VLOOKUP("後"&amp;$B21&amp;J$31,'２部北対戦表'!$R$1:$U$89,2,FALSE)</f>
        <v>#N/A</v>
      </c>
      <c r="J24" s="407" t="e">
        <f>IF(I24&lt;&gt;"",IF(I24&gt;K24,"○",IF(I24&lt;K24,"●","△")),"")</f>
        <v>#N/A</v>
      </c>
      <c r="K24" s="407" t="e">
        <f>VLOOKUP("後"&amp;$B21&amp;J$31,'２部北対戦表'!$R$1:$U$89,3,FALSE)</f>
        <v>#N/A</v>
      </c>
      <c r="L24" s="408" t="s">
        <v>79</v>
      </c>
      <c r="M24" s="406" t="s">
        <v>78</v>
      </c>
      <c r="N24" s="407" t="e">
        <f>VLOOKUP("後"&amp;$B21&amp;O$31,'２部北対戦表'!$R$1:$U$89,2,FALSE)</f>
        <v>#N/A</v>
      </c>
      <c r="O24" s="407" t="e">
        <f>IF(N24&lt;&gt;"",IF(N24&gt;P24,"○",IF(N24&lt;P24,"●","△")),"")</f>
        <v>#N/A</v>
      </c>
      <c r="P24" s="407" t="e">
        <f>VLOOKUP("後"&amp;$B21&amp;O$31,'２部北対戦表'!$R$1:$U$89,3,FALSE)</f>
        <v>#N/A</v>
      </c>
      <c r="Q24" s="408" t="s">
        <v>79</v>
      </c>
      <c r="R24" s="406" t="s">
        <v>78</v>
      </c>
      <c r="S24" s="407" t="e">
        <f>VLOOKUP("後"&amp;$B21&amp;T$31,'２部北対戦表'!$R$1:$U$89,2,FALSE)</f>
        <v>#N/A</v>
      </c>
      <c r="T24" s="407" t="e">
        <f>IF(S24&lt;&gt;"",IF(S24&gt;U24,"○",IF(S24&lt;U24,"●","△")),"")</f>
        <v>#N/A</v>
      </c>
      <c r="U24" s="407" t="e">
        <f>VLOOKUP("後"&amp;$B21&amp;T$31,'２部北対戦表'!$R$1:$U$89,3,FALSE)</f>
        <v>#N/A</v>
      </c>
      <c r="V24" s="408" t="s">
        <v>79</v>
      </c>
      <c r="W24" s="393"/>
      <c r="X24" s="393"/>
      <c r="Y24" s="393"/>
      <c r="Z24" s="393"/>
      <c r="AA24" s="393"/>
      <c r="AB24" s="406" t="s">
        <v>78</v>
      </c>
      <c r="AC24" s="407" t="e">
        <f>VLOOKUP("後"&amp;$B21&amp;AD$31,'２部北対戦表'!$R$1:$U$89,2,FALSE)</f>
        <v>#N/A</v>
      </c>
      <c r="AD24" s="407" t="e">
        <f>IF(AC24&lt;&gt;"",IF(AC24&gt;AE24,"○",IF(AC24&lt;AE24,"●","△")),"")</f>
        <v>#N/A</v>
      </c>
      <c r="AE24" s="407" t="e">
        <f>VLOOKUP("後"&amp;$B21&amp;AD$31,'２部北対戦表'!$R$1:$U$89,3,FALSE)</f>
        <v>#N/A</v>
      </c>
      <c r="AF24" s="426" t="s">
        <v>79</v>
      </c>
      <c r="AG24" s="386"/>
      <c r="AH24" s="376"/>
      <c r="AI24" s="376"/>
      <c r="AJ24" s="377"/>
      <c r="AK24" s="165"/>
      <c r="AL24" s="165"/>
      <c r="AM24" s="165"/>
      <c r="AN24" s="381"/>
      <c r="AR24" s="20" t="e">
        <f>SUM(AY21:BB21)+SUM(#REF!)+SUM(AY23:BB23)</f>
        <v>#REF!</v>
      </c>
      <c r="AS24" s="20" t="e">
        <f>SUM(AY22:BB22)+SUM(#REF!)+SUM(AY24:BB24)</f>
        <v>#REF!</v>
      </c>
      <c r="AT24" t="e">
        <f>+AR24-AS24</f>
        <v>#REF!</v>
      </c>
      <c r="AU24" s="21"/>
      <c r="AY24" s="54" t="e">
        <f>IF(F24&lt;&gt;"",F24,0)</f>
        <v>#N/A</v>
      </c>
      <c r="AZ24" s="54" t="e">
        <f>IF(K24&lt;&gt;"",K24,0)</f>
        <v>#N/A</v>
      </c>
      <c r="BA24" s="54" t="e">
        <f>IF(P24&lt;&gt;"",P24,0)</f>
        <v>#N/A</v>
      </c>
      <c r="BB24" s="54" t="e">
        <f>IF(U24&lt;&gt;"",U24,0)</f>
        <v>#N/A</v>
      </c>
    </row>
    <row r="25" spans="2:54" ht="24" customHeight="1" thickBot="1">
      <c r="B25" s="3" t="s">
        <v>3</v>
      </c>
      <c r="C25" s="414">
        <f>VLOOKUP("前"&amp;$B25&amp;E$31,'２部北対戦表'!$R$1:$U$89,4,FALSE)</f>
        <v>40315</v>
      </c>
      <c r="D25" s="414"/>
      <c r="E25" s="414"/>
      <c r="F25" s="414"/>
      <c r="G25" s="415"/>
      <c r="H25" s="419">
        <v>40357</v>
      </c>
      <c r="I25" s="414"/>
      <c r="J25" s="414"/>
      <c r="K25" s="414"/>
      <c r="L25" s="415"/>
      <c r="M25" s="419">
        <f>VLOOKUP("前"&amp;$B25&amp;O$31,'２部北対戦表'!$R$1:$U$89,4,FALSE)</f>
        <v>40336</v>
      </c>
      <c r="N25" s="414"/>
      <c r="O25" s="414"/>
      <c r="P25" s="414"/>
      <c r="Q25" s="415"/>
      <c r="R25" s="419">
        <v>40371</v>
      </c>
      <c r="S25" s="414"/>
      <c r="T25" s="414"/>
      <c r="U25" s="414"/>
      <c r="V25" s="415"/>
      <c r="W25" s="419">
        <f>VLOOKUP("前"&amp;$B25&amp;Y$31,'２部北対戦表'!$R$1:$U$89,4,FALSE)</f>
        <v>40343</v>
      </c>
      <c r="X25" s="414"/>
      <c r="Y25" s="414"/>
      <c r="Z25" s="414"/>
      <c r="AA25" s="415"/>
      <c r="AB25" s="416"/>
      <c r="AC25" s="417"/>
      <c r="AD25" s="417"/>
      <c r="AE25" s="417"/>
      <c r="AF25" s="427"/>
      <c r="AG25" s="386">
        <f>IF(AND($AR26=0,$AS26=0,$AT26=0),"",AR26)</f>
      </c>
      <c r="AH25" s="376">
        <f>IF(AND($AR26=0,$AS26=0,$AT26=0),"",AS26)</f>
      </c>
      <c r="AI25" s="376">
        <f>IF(AND($AR26=0,$AS26=0,$AT26=0),"",AT26)</f>
      </c>
      <c r="AJ25" s="377">
        <f>IF(AND($AR26=0,$AS26=0,$AT26=0),"",AU26+AP26)</f>
      </c>
      <c r="AK25" s="165">
        <f>IF(AND($AR26=0,$AS26=0,$AT26=0),"",AR28)</f>
      </c>
      <c r="AL25" s="165">
        <f>IF(AND($AR26=0,$AS26=0,$AT26=0),"",AS28)</f>
      </c>
      <c r="AM25" s="165">
        <f>IF(AND($AR26=0,$AS26=0,$AT26=0),"",AT28)</f>
      </c>
      <c r="AN25" s="381">
        <f>IF(AND($AR26=0,$AS26=0,$AT26=0),"",RANK(AW27,AW$7:AW$27))</f>
      </c>
      <c r="AR25" s="57" t="s">
        <v>86</v>
      </c>
      <c r="AS25" s="57" t="s">
        <v>87</v>
      </c>
      <c r="AT25" s="57" t="s">
        <v>88</v>
      </c>
      <c r="AU25" s="57" t="s">
        <v>89</v>
      </c>
      <c r="AY25" s="52">
        <f>IF(D26&lt;&gt;"",D26,0)</f>
        <v>0</v>
      </c>
      <c r="AZ25" s="52">
        <f>IF(I26&lt;&gt;"",I26,0)</f>
        <v>0</v>
      </c>
      <c r="BA25" s="52">
        <f>IF(N26&lt;&gt;"",N26,0)</f>
        <v>0</v>
      </c>
      <c r="BB25" s="52">
        <f>IF(S26&lt;&gt;"",S26,0)</f>
        <v>0</v>
      </c>
    </row>
    <row r="26" spans="2:54" ht="24" customHeight="1">
      <c r="B26" s="244" t="str">
        <f>VLOOKUP(B25,'参加チーム'!$B$5:$F$73,IF($AG$3=1,3,4),FALSE)</f>
        <v>PIETRA</v>
      </c>
      <c r="C26" s="395" t="s">
        <v>78</v>
      </c>
      <c r="D26" s="395">
        <f>VLOOKUP("前"&amp;$B25&amp;E$31,'２部北対戦表'!$R$1:$U$89,2,FALSE)</f>
      </c>
      <c r="E26" s="395">
        <f>IF(D26&lt;&gt;"",IF(D26&gt;F26,"○",IF(D26&lt;F26,"●","△")),"")</f>
      </c>
      <c r="F26" s="395">
        <f>VLOOKUP("前"&amp;$B25&amp;E$31,'２部北対戦表'!$R$1:$U$89,3,FALSE)</f>
      </c>
      <c r="G26" s="396" t="s">
        <v>79</v>
      </c>
      <c r="H26" s="394" t="s">
        <v>78</v>
      </c>
      <c r="I26" s="395"/>
      <c r="J26" s="395"/>
      <c r="K26" s="395"/>
      <c r="L26" s="396" t="s">
        <v>79</v>
      </c>
      <c r="M26" s="394" t="s">
        <v>78</v>
      </c>
      <c r="N26" s="395">
        <f>VLOOKUP("前"&amp;$B25&amp;O$31,'２部北対戦表'!$R$1:$U$89,2,FALSE)</f>
      </c>
      <c r="O26" s="395">
        <f>IF(N26&lt;&gt;"",IF(N26&gt;P26,"○",IF(N26&lt;P26,"●","△")),"")</f>
      </c>
      <c r="P26" s="395">
        <f>VLOOKUP("前"&amp;$B25&amp;O$31,'２部北対戦表'!$R$1:$U$89,3,FALSE)</f>
      </c>
      <c r="Q26" s="396" t="s">
        <v>79</v>
      </c>
      <c r="R26" s="394" t="s">
        <v>78</v>
      </c>
      <c r="S26" s="395"/>
      <c r="T26" s="395"/>
      <c r="U26" s="395"/>
      <c r="V26" s="396" t="s">
        <v>79</v>
      </c>
      <c r="W26" s="394" t="s">
        <v>78</v>
      </c>
      <c r="X26" s="395">
        <f>VLOOKUP("前"&amp;$B25&amp;Y$31,'２部北対戦表'!$R$1:$U$89,2,FALSE)</f>
      </c>
      <c r="Y26" s="395">
        <f>IF(X26&lt;&gt;"",IF(X26&gt;Z26,"○",IF(X26&lt;Z26,"●","△")),"")</f>
      </c>
      <c r="Z26" s="395">
        <f>VLOOKUP("前"&amp;$B25&amp;Y$31,'２部北対戦表'!$R$1:$U$89,3,FALSE)</f>
      </c>
      <c r="AA26" s="396" t="s">
        <v>79</v>
      </c>
      <c r="AB26" s="421"/>
      <c r="AC26" s="393"/>
      <c r="AD26" s="393"/>
      <c r="AE26" s="393"/>
      <c r="AF26" s="428"/>
      <c r="AG26" s="386"/>
      <c r="AH26" s="376"/>
      <c r="AI26" s="376"/>
      <c r="AJ26" s="377"/>
      <c r="AK26" s="165"/>
      <c r="AL26" s="165"/>
      <c r="AM26" s="165"/>
      <c r="AN26" s="381"/>
      <c r="AP26" s="158"/>
      <c r="AQ26" s="51"/>
      <c r="AR26" s="22">
        <f>COUNTIF($C25:$AF28,"○")</f>
        <v>0</v>
      </c>
      <c r="AS26" s="22">
        <f>COUNTIF($C25:$AF28,"△")</f>
        <v>0</v>
      </c>
      <c r="AT26" s="22">
        <f>COUNTIF($C25:$AF28,"●")</f>
        <v>0</v>
      </c>
      <c r="AU26" s="57">
        <f>AR26*3+AS26</f>
        <v>0</v>
      </c>
      <c r="AY26" s="53">
        <f>IF(F26&lt;&gt;"",F26,0)</f>
        <v>0</v>
      </c>
      <c r="AZ26" s="53">
        <f>IF(K26&lt;&gt;"",K26,0)</f>
        <v>0</v>
      </c>
      <c r="BA26" s="53">
        <f>IF(P26&lt;&gt;"",P26,0)</f>
        <v>0</v>
      </c>
      <c r="BB26" s="53">
        <f>IF(U26&lt;&gt;"",U26,0)</f>
        <v>0</v>
      </c>
    </row>
    <row r="27" spans="2:54" ht="24" customHeight="1" thickBot="1">
      <c r="B27" s="244"/>
      <c r="C27" s="399" t="e">
        <f>VLOOKUP("後"&amp;$B25&amp;E$31,'２部北対戦表'!$R$1:$U$89,4,FALSE)</f>
        <v>#N/A</v>
      </c>
      <c r="D27" s="399"/>
      <c r="E27" s="399"/>
      <c r="F27" s="399"/>
      <c r="G27" s="400"/>
      <c r="H27" s="398" t="e">
        <f>VLOOKUP("後"&amp;$B25&amp;J$31,'２部北対戦表'!$R$1:$U$89,4,FALSE)</f>
        <v>#N/A</v>
      </c>
      <c r="I27" s="399"/>
      <c r="J27" s="399"/>
      <c r="K27" s="399"/>
      <c r="L27" s="400"/>
      <c r="M27" s="398" t="e">
        <f>VLOOKUP("後"&amp;$B25&amp;O$31,'２部北対戦表'!$R$1:$U$89,4,FALSE)</f>
        <v>#N/A</v>
      </c>
      <c r="N27" s="399"/>
      <c r="O27" s="399"/>
      <c r="P27" s="399"/>
      <c r="Q27" s="400"/>
      <c r="R27" s="398" t="e">
        <f>VLOOKUP("後"&amp;$B25&amp;T$31,'２部北対戦表'!$R$1:$U$89,4,FALSE)</f>
        <v>#N/A</v>
      </c>
      <c r="S27" s="399"/>
      <c r="T27" s="399"/>
      <c r="U27" s="399"/>
      <c r="V27" s="400"/>
      <c r="W27" s="398" t="e">
        <f>VLOOKUP("後"&amp;$B25&amp;Y$31,'２部北対戦表'!$R$1:$U$89,4,FALSE)</f>
        <v>#N/A</v>
      </c>
      <c r="X27" s="399"/>
      <c r="Y27" s="399"/>
      <c r="Z27" s="399"/>
      <c r="AA27" s="400"/>
      <c r="AB27" s="421"/>
      <c r="AC27" s="393"/>
      <c r="AD27" s="393"/>
      <c r="AE27" s="393"/>
      <c r="AF27" s="428"/>
      <c r="AG27" s="386"/>
      <c r="AH27" s="376"/>
      <c r="AI27" s="376"/>
      <c r="AJ27" s="377"/>
      <c r="AK27" s="165"/>
      <c r="AL27" s="165"/>
      <c r="AM27" s="165"/>
      <c r="AN27" s="381"/>
      <c r="AP27" s="159"/>
      <c r="AQ27" s="51"/>
      <c r="AR27" s="20" t="s">
        <v>90</v>
      </c>
      <c r="AS27" s="20" t="s">
        <v>91</v>
      </c>
      <c r="AT27" s="20" t="s">
        <v>92</v>
      </c>
      <c r="AU27" s="21"/>
      <c r="AV27" s="21" t="s">
        <v>98</v>
      </c>
      <c r="AW27" s="55">
        <f>IF(AND(AR26=0,AS26=0,AT26=0),0,+AJ25*1000+AM25)</f>
        <v>0</v>
      </c>
      <c r="AY27" s="53" t="e">
        <f>IF(D28&lt;&gt;"",D28,0)</f>
        <v>#N/A</v>
      </c>
      <c r="AZ27" s="53" t="e">
        <f>IF(I28&lt;&gt;"",I28,0)</f>
        <v>#N/A</v>
      </c>
      <c r="BA27" s="53" t="e">
        <f>IF(N28&lt;&gt;"",N28,0)</f>
        <v>#N/A</v>
      </c>
      <c r="BB27" s="53" t="e">
        <f>IF(S28&lt;&gt;"",S28,0)</f>
        <v>#N/A</v>
      </c>
    </row>
    <row r="28" spans="2:54" ht="24" customHeight="1" thickBot="1">
      <c r="B28" s="246"/>
      <c r="C28" s="429" t="s">
        <v>78</v>
      </c>
      <c r="D28" s="429" t="e">
        <f>VLOOKUP("後"&amp;$B25&amp;E$31,'２部北対戦表'!$R$1:$U$89,2,FALSE)</f>
        <v>#N/A</v>
      </c>
      <c r="E28" s="429" t="e">
        <f>IF(D28&lt;&gt;"",IF(D28&gt;F28,"○",IF(D28&lt;F28,"●","△")),"")</f>
        <v>#N/A</v>
      </c>
      <c r="F28" s="429" t="e">
        <f>VLOOKUP("後"&amp;$B25&amp;E$31,'２部北対戦表'!$R$1:$U$89,3,FALSE)</f>
        <v>#N/A</v>
      </c>
      <c r="G28" s="430" t="s">
        <v>79</v>
      </c>
      <c r="H28" s="431" t="s">
        <v>78</v>
      </c>
      <c r="I28" s="429" t="e">
        <f>VLOOKUP("後"&amp;$B25&amp;J$31,'２部北対戦表'!$R$1:$U$89,2,FALSE)</f>
        <v>#N/A</v>
      </c>
      <c r="J28" s="429" t="e">
        <f>IF(I28&lt;&gt;"",IF(I28&gt;K28,"○",IF(I28&lt;K28,"●","△")),"")</f>
        <v>#N/A</v>
      </c>
      <c r="K28" s="429" t="e">
        <f>VLOOKUP("後"&amp;$B25&amp;J$31,'２部北対戦表'!$R$1:$U$89,3,FALSE)</f>
        <v>#N/A</v>
      </c>
      <c r="L28" s="430" t="s">
        <v>79</v>
      </c>
      <c r="M28" s="431" t="s">
        <v>78</v>
      </c>
      <c r="N28" s="429" t="e">
        <f>VLOOKUP("後"&amp;$B25&amp;O$31,'２部北対戦表'!$R$1:$U$89,2,FALSE)</f>
        <v>#N/A</v>
      </c>
      <c r="O28" s="429" t="e">
        <f>IF(N28&lt;&gt;"",IF(N28&gt;P28,"○",IF(N28&lt;P28,"●","△")),"")</f>
        <v>#N/A</v>
      </c>
      <c r="P28" s="429" t="e">
        <f>VLOOKUP("後"&amp;$B25&amp;O$31,'２部北対戦表'!$R$1:$U$89,3,FALSE)</f>
        <v>#N/A</v>
      </c>
      <c r="Q28" s="430" t="s">
        <v>79</v>
      </c>
      <c r="R28" s="431" t="s">
        <v>78</v>
      </c>
      <c r="S28" s="429" t="e">
        <f>VLOOKUP("後"&amp;$B25&amp;T$31,'２部北対戦表'!$R$1:$U$89,2,FALSE)</f>
        <v>#N/A</v>
      </c>
      <c r="T28" s="429" t="e">
        <f>IF(S28&lt;&gt;"",IF(S28&gt;U28,"○",IF(S28&lt;U28,"●","△")),"")</f>
        <v>#N/A</v>
      </c>
      <c r="U28" s="429" t="e">
        <f>VLOOKUP("後"&amp;$B25&amp;T$31,'２部北対戦表'!$R$1:$U$89,3,FALSE)</f>
        <v>#N/A</v>
      </c>
      <c r="V28" s="430" t="s">
        <v>79</v>
      </c>
      <c r="W28" s="431" t="s">
        <v>78</v>
      </c>
      <c r="X28" s="429" t="e">
        <f>VLOOKUP("後"&amp;$B25&amp;Y$31,'２部北対戦表'!$R$1:$U$89,2,FALSE)</f>
        <v>#N/A</v>
      </c>
      <c r="Y28" s="429" t="e">
        <f>IF(X28&lt;&gt;"",IF(X28&gt;Z28,"○",IF(X28&lt;Z28,"●","△")),"")</f>
        <v>#N/A</v>
      </c>
      <c r="Z28" s="429" t="e">
        <f>VLOOKUP("後"&amp;$B25&amp;Y$31,'２部北対戦表'!$R$1:$U$89,3,FALSE)</f>
        <v>#N/A</v>
      </c>
      <c r="AA28" s="430" t="s">
        <v>79</v>
      </c>
      <c r="AB28" s="432"/>
      <c r="AC28" s="433"/>
      <c r="AD28" s="433"/>
      <c r="AE28" s="433"/>
      <c r="AF28" s="434"/>
      <c r="AG28" s="387"/>
      <c r="AH28" s="382"/>
      <c r="AI28" s="382"/>
      <c r="AJ28" s="383"/>
      <c r="AK28" s="166"/>
      <c r="AL28" s="166"/>
      <c r="AM28" s="166"/>
      <c r="AN28" s="384"/>
      <c r="AR28" s="20" t="e">
        <f>SUM(AY25:BB25)+SUM(#REF!)+SUM(AY27:BB27)</f>
        <v>#REF!</v>
      </c>
      <c r="AS28" s="20" t="e">
        <f>SUM(AY26:BB26)+SUM(#REF!)+SUM(AY28:BB28)</f>
        <v>#REF!</v>
      </c>
      <c r="AT28" t="e">
        <f>+AR28-AS28</f>
        <v>#REF!</v>
      </c>
      <c r="AU28" s="21"/>
      <c r="AY28" s="54" t="e">
        <f>IF(F28&lt;&gt;"",F28,0)</f>
        <v>#N/A</v>
      </c>
      <c r="AZ28" s="54" t="e">
        <f>IF(K28&lt;&gt;"",K28,0)</f>
        <v>#N/A</v>
      </c>
      <c r="BA28" s="54" t="e">
        <f>IF(P28&lt;&gt;"",P28,0)</f>
        <v>#N/A</v>
      </c>
      <c r="BB28" s="54" t="e">
        <f>IF(U28&lt;&gt;"",U28,0)</f>
        <v>#N/A</v>
      </c>
    </row>
    <row r="29" ht="30" customHeight="1"/>
    <row r="31" spans="2:40" ht="14.25">
      <c r="B31" s="11"/>
      <c r="C31" s="12"/>
      <c r="D31" s="12"/>
      <c r="E31" s="12" t="str">
        <f>+B5</f>
        <v>北Ａ</v>
      </c>
      <c r="F31" s="12"/>
      <c r="G31" s="12"/>
      <c r="H31" s="12"/>
      <c r="I31" s="12"/>
      <c r="J31" s="12" t="str">
        <f>+B9</f>
        <v>北Ｂ</v>
      </c>
      <c r="K31" s="12"/>
      <c r="L31" s="12"/>
      <c r="M31" s="12"/>
      <c r="N31" s="12"/>
      <c r="O31" s="12" t="str">
        <f>+B13</f>
        <v>北Ｃ</v>
      </c>
      <c r="P31" s="12"/>
      <c r="Q31" s="12"/>
      <c r="R31" s="12"/>
      <c r="S31" s="12"/>
      <c r="T31" s="12" t="str">
        <f>+B17</f>
        <v>北Ｄ</v>
      </c>
      <c r="U31" s="12"/>
      <c r="V31" s="12"/>
      <c r="W31" s="12"/>
      <c r="X31" s="12"/>
      <c r="Y31" s="12" t="str">
        <f>+B21</f>
        <v>北Ｅ</v>
      </c>
      <c r="Z31" s="12"/>
      <c r="AA31" s="12"/>
      <c r="AB31" s="12"/>
      <c r="AC31" s="12"/>
      <c r="AD31" s="12" t="str">
        <f>+B25</f>
        <v>北Ｆ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3"/>
    </row>
    <row r="35" spans="2:7" ht="17.25">
      <c r="B35" s="3" t="s">
        <v>0</v>
      </c>
      <c r="C35" s="138">
        <f>VLOOKUP("前"&amp;$B35&amp;E$31,'２部北対戦表'!$R$1:$U$89,4,FALSE)</f>
        <v>40343</v>
      </c>
      <c r="D35" s="139"/>
      <c r="E35" s="139"/>
      <c r="F35" s="139"/>
      <c r="G35" s="140"/>
    </row>
    <row r="36" spans="2:7" ht="17.25">
      <c r="B36" s="244" t="str">
        <f>VLOOKUP(B35,'参加チーム'!$B$5:$F$73,3,FALSE)</f>
        <v>ステラミーゴ</v>
      </c>
      <c r="C36" s="30" t="s">
        <v>78</v>
      </c>
      <c r="D36" s="31">
        <f>VLOOKUP("前"&amp;$B35&amp;E$31,'２部北対戦表'!$R$1:$U$89,2,FALSE)</f>
      </c>
      <c r="E36" s="31">
        <f>IF(D36&lt;&gt;"",IF(D36&gt;F36,"○",IF(D36&lt;F36,"●","△")),"")</f>
      </c>
      <c r="F36" s="31">
        <f>VLOOKUP("前"&amp;$B35&amp;E$31,'２部北対戦表'!$R$1:$U$89,3,FALSE)</f>
      </c>
      <c r="G36" s="32" t="s">
        <v>79</v>
      </c>
    </row>
    <row r="37" spans="2:7" ht="17.25">
      <c r="B37" s="244"/>
      <c r="C37" s="135" t="e">
        <f>VLOOKUP("後"&amp;$B35&amp;E$31,'２部北対戦表'!$R$1:$U$89,4,FALSE)</f>
        <v>#N/A</v>
      </c>
      <c r="D37" s="136"/>
      <c r="E37" s="136"/>
      <c r="F37" s="136"/>
      <c r="G37" s="137"/>
    </row>
    <row r="38" spans="2:7" ht="17.25">
      <c r="B38" s="245"/>
      <c r="C38" s="27" t="s">
        <v>78</v>
      </c>
      <c r="D38" s="28" t="e">
        <f>VLOOKUP("後"&amp;$B35&amp;E$31,'２部北対戦表'!$R$1:$U$89,2,FALSE)</f>
        <v>#N/A</v>
      </c>
      <c r="E38" s="28" t="e">
        <f>IF(D38&lt;&gt;"",IF(D38&gt;F38,"○",IF(D38&lt;F38,"●","△")),"")</f>
        <v>#N/A</v>
      </c>
      <c r="F38" s="28" t="e">
        <f>VLOOKUP("後"&amp;$B35&amp;E$31,'２部北対戦表'!$R$1:$U$89,3,FALSE)</f>
        <v>#N/A</v>
      </c>
      <c r="G38" s="29" t="s">
        <v>79</v>
      </c>
    </row>
  </sheetData>
  <sheetProtection/>
  <mergeCells count="135">
    <mergeCell ref="R27:V27"/>
    <mergeCell ref="R23:V23"/>
    <mergeCell ref="R25:V25"/>
    <mergeCell ref="M19:Q19"/>
    <mergeCell ref="M21:Q21"/>
    <mergeCell ref="M17:Q17"/>
    <mergeCell ref="C9:G9"/>
    <mergeCell ref="AB4:AF4"/>
    <mergeCell ref="C5:G8"/>
    <mergeCell ref="AB5:AF5"/>
    <mergeCell ref="AB7:AF7"/>
    <mergeCell ref="R7:V7"/>
    <mergeCell ref="R5:V5"/>
    <mergeCell ref="C4:G4"/>
    <mergeCell ref="H4:L4"/>
    <mergeCell ref="B6:B8"/>
    <mergeCell ref="C11:G11"/>
    <mergeCell ref="H9:L12"/>
    <mergeCell ref="R4:V4"/>
    <mergeCell ref="H5:L5"/>
    <mergeCell ref="H7:L7"/>
    <mergeCell ref="W4:AA4"/>
    <mergeCell ref="M9:Q9"/>
    <mergeCell ref="M11:Q11"/>
    <mergeCell ref="W7:AA7"/>
    <mergeCell ref="R9:V9"/>
    <mergeCell ref="W9:AA9"/>
    <mergeCell ref="M5:Q5"/>
    <mergeCell ref="M4:Q4"/>
    <mergeCell ref="M7:Q7"/>
    <mergeCell ref="AB21:AF21"/>
    <mergeCell ref="H25:L25"/>
    <mergeCell ref="B10:B12"/>
    <mergeCell ref="B14:B16"/>
    <mergeCell ref="W15:AA15"/>
    <mergeCell ref="C13:G13"/>
    <mergeCell ref="R11:V11"/>
    <mergeCell ref="W11:AA11"/>
    <mergeCell ref="AJ13:AJ16"/>
    <mergeCell ref="B26:B28"/>
    <mergeCell ref="R17:V20"/>
    <mergeCell ref="B18:B20"/>
    <mergeCell ref="W21:AA24"/>
    <mergeCell ref="B22:B24"/>
    <mergeCell ref="W17:AA17"/>
    <mergeCell ref="W19:AA19"/>
    <mergeCell ref="H27:L27"/>
    <mergeCell ref="AM5:AM8"/>
    <mergeCell ref="AL5:AL8"/>
    <mergeCell ref="AI5:AI8"/>
    <mergeCell ref="AJ5:AJ8"/>
    <mergeCell ref="AK5:AK8"/>
    <mergeCell ref="AM9:AM12"/>
    <mergeCell ref="AK9:AK12"/>
    <mergeCell ref="AI9:AI12"/>
    <mergeCell ref="AJ9:AJ12"/>
    <mergeCell ref="AM17:AM20"/>
    <mergeCell ref="AI17:AI20"/>
    <mergeCell ref="AJ17:AJ20"/>
    <mergeCell ref="AJ25:AJ28"/>
    <mergeCell ref="W5:AA5"/>
    <mergeCell ref="AB13:AF13"/>
    <mergeCell ref="W13:AA13"/>
    <mergeCell ref="AH5:AH8"/>
    <mergeCell ref="M27:Q27"/>
    <mergeCell ref="AG25:AG28"/>
    <mergeCell ref="AH25:AH28"/>
    <mergeCell ref="AB9:AF9"/>
    <mergeCell ref="AG9:AG12"/>
    <mergeCell ref="AH9:AH12"/>
    <mergeCell ref="AH17:AH20"/>
    <mergeCell ref="R21:V21"/>
    <mergeCell ref="AB15:AF15"/>
    <mergeCell ref="AK17:AK20"/>
    <mergeCell ref="AB17:AF17"/>
    <mergeCell ref="AG5:AG8"/>
    <mergeCell ref="AB25:AF28"/>
    <mergeCell ref="AH13:AH16"/>
    <mergeCell ref="AI21:AI24"/>
    <mergeCell ref="AJ21:AJ24"/>
    <mergeCell ref="AI13:AI16"/>
    <mergeCell ref="AK21:AK24"/>
    <mergeCell ref="AB23:AF23"/>
    <mergeCell ref="AB11:AF11"/>
    <mergeCell ref="AI25:AI28"/>
    <mergeCell ref="M13:Q16"/>
    <mergeCell ref="R15:V15"/>
    <mergeCell ref="AK13:AK16"/>
    <mergeCell ref="AG17:AG20"/>
    <mergeCell ref="AG13:AG16"/>
    <mergeCell ref="R13:V13"/>
    <mergeCell ref="AN9:AN12"/>
    <mergeCell ref="AL17:AL20"/>
    <mergeCell ref="AP6:AP7"/>
    <mergeCell ref="AP10:AP11"/>
    <mergeCell ref="AN5:AN8"/>
    <mergeCell ref="AL9:AL12"/>
    <mergeCell ref="AP14:AP15"/>
    <mergeCell ref="AM13:AM16"/>
    <mergeCell ref="AB19:AF19"/>
    <mergeCell ref="AN13:AN16"/>
    <mergeCell ref="AL25:AL28"/>
    <mergeCell ref="AP18:AP19"/>
    <mergeCell ref="AL13:AL16"/>
    <mergeCell ref="AN25:AN28"/>
    <mergeCell ref="AN17:AN20"/>
    <mergeCell ref="AM25:AM28"/>
    <mergeCell ref="AL21:AL24"/>
    <mergeCell ref="AM21:AM24"/>
    <mergeCell ref="AN21:AN24"/>
    <mergeCell ref="C27:G27"/>
    <mergeCell ref="AP22:AP23"/>
    <mergeCell ref="AP26:AP27"/>
    <mergeCell ref="M23:Q23"/>
    <mergeCell ref="M25:Q25"/>
    <mergeCell ref="W25:AA25"/>
    <mergeCell ref="W27:AA27"/>
    <mergeCell ref="AG21:AG24"/>
    <mergeCell ref="AH21:AH24"/>
    <mergeCell ref="AK25:AK28"/>
    <mergeCell ref="C35:G35"/>
    <mergeCell ref="B36:B38"/>
    <mergeCell ref="C37:G37"/>
    <mergeCell ref="C21:G21"/>
    <mergeCell ref="C23:G23"/>
    <mergeCell ref="C25:G25"/>
    <mergeCell ref="H17:L17"/>
    <mergeCell ref="H19:L19"/>
    <mergeCell ref="C15:G15"/>
    <mergeCell ref="H21:L21"/>
    <mergeCell ref="H23:L23"/>
    <mergeCell ref="C17:G17"/>
    <mergeCell ref="C19:G19"/>
    <mergeCell ref="H15:L15"/>
    <mergeCell ref="H13:L13"/>
  </mergeCells>
  <printOptions horizontalCentered="1" verticalCentered="1"/>
  <pageMargins left="0.3937007874015748" right="0.3937007874015748" top="0.3937007874015748" bottom="0.3937007874015748" header="0.3937007874015748" footer="0.3937007874015748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U67"/>
  <sheetViews>
    <sheetView view="pageBreakPreview" zoomScale="70" zoomScaleNormal="75" zoomScaleSheetLayoutView="70" zoomScalePageLayoutView="0" workbookViewId="0" topLeftCell="A1">
      <pane ySplit="1" topLeftCell="A2" activePane="bottomLeft" state="frozen"/>
      <selection pane="topLeft" activeCell="AC19" sqref="AC19"/>
      <selection pane="bottomLeft" activeCell="O36" sqref="O36"/>
    </sheetView>
  </sheetViews>
  <sheetFormatPr defaultColWidth="8.796875" defaultRowHeight="15"/>
  <cols>
    <col min="1" max="1" width="9" style="88" customWidth="1"/>
    <col min="2" max="2" width="9.5" style="88" bestFit="1" customWidth="1"/>
    <col min="3" max="3" width="14.09765625" style="348" customWidth="1"/>
    <col min="4" max="4" width="4.59765625" style="88" customWidth="1"/>
    <col min="5" max="5" width="7.3984375" style="88" customWidth="1"/>
    <col min="6" max="6" width="4.69921875" style="88" customWidth="1"/>
    <col min="7" max="7" width="14.59765625" style="88" customWidth="1"/>
    <col min="8" max="12" width="3.59765625" style="88" customWidth="1"/>
    <col min="13" max="13" width="4.69921875" style="88" customWidth="1"/>
    <col min="14" max="14" width="14.59765625" style="88" customWidth="1"/>
    <col min="15" max="16" width="12.59765625" style="88" customWidth="1"/>
    <col min="17" max="17" width="3.8984375" style="88" customWidth="1"/>
    <col min="18" max="18" width="11.19921875" style="88" hidden="1" customWidth="1"/>
    <col min="19" max="20" width="5.19921875" style="88" hidden="1" customWidth="1"/>
    <col min="21" max="21" width="9.5" style="88" hidden="1" customWidth="1"/>
    <col min="22" max="16384" width="9" style="88" customWidth="1"/>
  </cols>
  <sheetData>
    <row r="1" spans="1:19" ht="28.5" customHeight="1">
      <c r="A1" s="86" t="s">
        <v>246</v>
      </c>
      <c r="B1" s="87"/>
      <c r="C1" s="34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R1" s="89" t="s">
        <v>82</v>
      </c>
      <c r="S1" s="90"/>
    </row>
    <row r="2" spans="1:19" ht="28.5" customHeight="1" thickBot="1">
      <c r="A2" s="91" t="s">
        <v>93</v>
      </c>
      <c r="M2" s="67">
        <f>+'１部'!$AQ$3</f>
        <v>1</v>
      </c>
      <c r="N2" s="68" t="str">
        <f>IF(M2=1,"略称表示","日本語略称表示")&amp;"（１部成績表からリンク）"</f>
        <v>略称表示（１部成績表からリンク）</v>
      </c>
      <c r="O2" s="314"/>
      <c r="P2" s="314"/>
      <c r="R2" s="89"/>
      <c r="S2" s="90"/>
    </row>
    <row r="3" spans="1:19" ht="25.5" customHeight="1" thickBot="1">
      <c r="A3" s="94"/>
      <c r="B3" s="16" t="s">
        <v>45</v>
      </c>
      <c r="C3" s="71" t="s">
        <v>46</v>
      </c>
      <c r="D3" s="16" t="s">
        <v>102</v>
      </c>
      <c r="E3" s="16" t="s">
        <v>47</v>
      </c>
      <c r="F3" s="17"/>
      <c r="G3" s="18" t="s">
        <v>96</v>
      </c>
      <c r="H3" s="216" t="s">
        <v>48</v>
      </c>
      <c r="I3" s="216"/>
      <c r="J3" s="216"/>
      <c r="K3" s="216"/>
      <c r="L3" s="216"/>
      <c r="M3" s="17"/>
      <c r="N3" s="18" t="s">
        <v>103</v>
      </c>
      <c r="O3" s="16" t="s">
        <v>241</v>
      </c>
      <c r="P3" s="19" t="s">
        <v>44</v>
      </c>
      <c r="R3" s="90"/>
      <c r="S3" s="90"/>
    </row>
    <row r="4" spans="1:21" ht="14.25">
      <c r="A4" s="225">
        <v>1</v>
      </c>
      <c r="B4" s="315">
        <v>40315</v>
      </c>
      <c r="C4" s="349" t="s">
        <v>51</v>
      </c>
      <c r="D4" s="233">
        <v>1</v>
      </c>
      <c r="E4" s="217">
        <v>0.4375</v>
      </c>
      <c r="F4" s="76" t="s">
        <v>5</v>
      </c>
      <c r="G4" s="363" t="str">
        <f>VLOOKUP($F4,'参加チーム'!$B$5:$F$73,IF($M$2=1,3,4),FALSE)</f>
        <v>Carioca</v>
      </c>
      <c r="H4" s="201">
        <f>IF(I4&lt;&gt;"",I4+I5,"")</f>
      </c>
      <c r="I4" s="77"/>
      <c r="J4" s="215" t="s">
        <v>80</v>
      </c>
      <c r="K4" s="77"/>
      <c r="L4" s="201">
        <f>IF(K4&lt;&gt;"",K4+K5,"")</f>
      </c>
      <c r="M4" s="76" t="s">
        <v>0</v>
      </c>
      <c r="N4" s="363" t="str">
        <f>VLOOKUP($M4,'参加チーム'!$B$5:$F$73,IF($M$2=1,3,4),FALSE)</f>
        <v>ステラミーゴ</v>
      </c>
      <c r="O4" s="211" t="str">
        <f>+N4</f>
        <v>ステラミーゴ</v>
      </c>
      <c r="P4" s="317" t="str">
        <f>+N8</f>
        <v>PIETRA</v>
      </c>
      <c r="R4" s="96" t="str">
        <f>+"前"&amp;F4&amp;M4</f>
        <v>前北Ｃ北Ｄ</v>
      </c>
      <c r="S4" s="97">
        <f>IF(H4&lt;&gt;"",H4,"")</f>
      </c>
      <c r="T4" s="97">
        <f>IF(L4&lt;&gt;"",L4,"")</f>
      </c>
      <c r="U4" s="98">
        <f>+B4</f>
        <v>40315</v>
      </c>
    </row>
    <row r="5" spans="1:21" ht="14.25">
      <c r="A5" s="226"/>
      <c r="B5" s="239"/>
      <c r="C5" s="350"/>
      <c r="D5" s="220"/>
      <c r="E5" s="202"/>
      <c r="F5" s="78" t="str">
        <f>LEFT(VLOOKUP(F4,'参加チーム'!$B$5:$F$73,5,FALSE),2)</f>
        <v>岩手</v>
      </c>
      <c r="G5" s="362"/>
      <c r="H5" s="202"/>
      <c r="I5" s="79"/>
      <c r="J5" s="205"/>
      <c r="K5" s="79"/>
      <c r="L5" s="202"/>
      <c r="M5" s="78" t="str">
        <f>LEFT(VLOOKUP(M4,'参加チーム'!$B$5:$F$73,5,FALSE),2)</f>
        <v>岩手</v>
      </c>
      <c r="N5" s="362"/>
      <c r="O5" s="199"/>
      <c r="P5" s="319"/>
      <c r="R5" s="99" t="str">
        <f>+"前"&amp;M4&amp;F4</f>
        <v>前北Ｄ北Ｃ</v>
      </c>
      <c r="S5" s="90">
        <f>IF(L4&lt;&gt;"",L4,"")</f>
      </c>
      <c r="T5" s="90">
        <f>IF(H4&lt;&gt;"",H4,"")</f>
      </c>
      <c r="U5" s="100">
        <f>+B4</f>
        <v>40315</v>
      </c>
    </row>
    <row r="6" spans="1:21" ht="14.25">
      <c r="A6" s="226"/>
      <c r="B6" s="239"/>
      <c r="C6" s="350"/>
      <c r="D6" s="219">
        <v>2</v>
      </c>
      <c r="E6" s="214">
        <v>0.513888888888889</v>
      </c>
      <c r="F6" s="80" t="s">
        <v>4</v>
      </c>
      <c r="G6" s="361" t="str">
        <f>VLOOKUP($F6,'参加チーム'!$B$5:$F$73,IF($M$2=1,3,4),FALSE)</f>
        <v>ヴィヴァーレ</v>
      </c>
      <c r="H6" s="203">
        <f>IF(I6&lt;&gt;"",I6+I7,"")</f>
      </c>
      <c r="I6" s="79"/>
      <c r="J6" s="204" t="s">
        <v>80</v>
      </c>
      <c r="K6" s="79"/>
      <c r="L6" s="203">
        <f>IF(K6&lt;&gt;"",K6+K7,"")</f>
      </c>
      <c r="M6" s="80" t="s">
        <v>2</v>
      </c>
      <c r="N6" s="361" t="str">
        <f>VLOOKUP($M6,'参加チーム'!$B$5:$F$73,IF($M$2=1,3,4),FALSE)</f>
        <v>Rion</v>
      </c>
      <c r="O6" s="198" t="str">
        <f>+N6</f>
        <v>Rion</v>
      </c>
      <c r="P6" s="319"/>
      <c r="R6" s="99" t="str">
        <f>+"前"&amp;F6&amp;M6</f>
        <v>前北Ｂ北Ｅ</v>
      </c>
      <c r="S6" s="90">
        <f>+H6</f>
      </c>
      <c r="T6" s="90">
        <f>+L6</f>
      </c>
      <c r="U6" s="100">
        <f>+B4</f>
        <v>40315</v>
      </c>
    </row>
    <row r="7" spans="1:21" ht="14.25" customHeight="1">
      <c r="A7" s="226"/>
      <c r="B7" s="239"/>
      <c r="C7" s="320" t="s">
        <v>247</v>
      </c>
      <c r="D7" s="220"/>
      <c r="E7" s="202"/>
      <c r="F7" s="78" t="str">
        <f>LEFT(VLOOKUP(F6,'参加チーム'!$B$5:$F$73,5,FALSE),2)</f>
        <v>岩手</v>
      </c>
      <c r="G7" s="362"/>
      <c r="H7" s="202"/>
      <c r="I7" s="79"/>
      <c r="J7" s="205"/>
      <c r="K7" s="79"/>
      <c r="L7" s="202"/>
      <c r="M7" s="78" t="str">
        <f>LEFT(VLOOKUP(M6,'参加チーム'!$B$5:$F$73,5,FALSE),2)</f>
        <v>秋田</v>
      </c>
      <c r="N7" s="362"/>
      <c r="O7" s="199"/>
      <c r="P7" s="319"/>
      <c r="R7" s="99" t="str">
        <f>+"前"&amp;M6&amp;F6</f>
        <v>前北Ｅ北Ｂ</v>
      </c>
      <c r="S7" s="90">
        <f>+L6</f>
      </c>
      <c r="T7" s="90">
        <f>+H6</f>
      </c>
      <c r="U7" s="100">
        <f>+B4</f>
        <v>40315</v>
      </c>
    </row>
    <row r="8" spans="1:21" ht="14.25">
      <c r="A8" s="226"/>
      <c r="B8" s="239"/>
      <c r="C8" s="326"/>
      <c r="D8" s="219">
        <v>3</v>
      </c>
      <c r="E8" s="214">
        <v>0.5902777777777778</v>
      </c>
      <c r="F8" s="80" t="s">
        <v>1</v>
      </c>
      <c r="G8" s="361" t="str">
        <f>VLOOKUP($F8,'参加チーム'!$B$5:$F$73,IF($M$2=1,3,4),FALSE)</f>
        <v>Itatica</v>
      </c>
      <c r="H8" s="203">
        <f>IF(I8&lt;&gt;"",I8+I9,"")</f>
      </c>
      <c r="I8" s="79"/>
      <c r="J8" s="204" t="s">
        <v>80</v>
      </c>
      <c r="K8" s="79"/>
      <c r="L8" s="203">
        <f>IF(K8&lt;&gt;"",K8+K9,"")</f>
      </c>
      <c r="M8" s="80" t="s">
        <v>3</v>
      </c>
      <c r="N8" s="361" t="str">
        <f>VLOOKUP($M8,'参加チーム'!$B$5:$F$73,IF($M$2=1,3,4),FALSE)</f>
        <v>PIETRA</v>
      </c>
      <c r="O8" s="198" t="str">
        <f>+N8</f>
        <v>PIETRA</v>
      </c>
      <c r="P8" s="319"/>
      <c r="R8" s="99" t="str">
        <f>+"前"&amp;F8&amp;M8</f>
        <v>前北Ａ北Ｆ</v>
      </c>
      <c r="S8" s="90">
        <f>+H8</f>
      </c>
      <c r="T8" s="90">
        <f>+L8</f>
      </c>
      <c r="U8" s="100">
        <f>+B4</f>
        <v>40315</v>
      </c>
    </row>
    <row r="9" spans="1:21" ht="15" thickBot="1">
      <c r="A9" s="227"/>
      <c r="B9" s="240"/>
      <c r="C9" s="327"/>
      <c r="D9" s="221"/>
      <c r="E9" s="212"/>
      <c r="F9" s="81" t="str">
        <f>LEFT(VLOOKUP(F8,'参加チーム'!$B$5:$F$73,5,FALSE),2)</f>
        <v>青森</v>
      </c>
      <c r="G9" s="240"/>
      <c r="H9" s="212"/>
      <c r="I9" s="82"/>
      <c r="J9" s="213"/>
      <c r="K9" s="82"/>
      <c r="L9" s="212"/>
      <c r="M9" s="81" t="str">
        <f>LEFT(VLOOKUP(M8,'参加チーム'!$B$5:$F$73,5,FALSE),2)</f>
        <v>秋田</v>
      </c>
      <c r="N9" s="240"/>
      <c r="O9" s="200"/>
      <c r="P9" s="323"/>
      <c r="R9" s="102" t="str">
        <f>+"前"&amp;M8&amp;F8</f>
        <v>前北Ｆ北Ａ</v>
      </c>
      <c r="S9" s="103">
        <f>+L8</f>
      </c>
      <c r="T9" s="103">
        <f>+H8</f>
      </c>
      <c r="U9" s="104">
        <f>+B4</f>
        <v>40315</v>
      </c>
    </row>
    <row r="10" spans="1:21" ht="14.25">
      <c r="A10" s="225">
        <v>2</v>
      </c>
      <c r="B10" s="315">
        <v>40336</v>
      </c>
      <c r="C10" s="316" t="s">
        <v>50</v>
      </c>
      <c r="D10" s="233">
        <v>1</v>
      </c>
      <c r="E10" s="217">
        <v>0.4375</v>
      </c>
      <c r="F10" s="76" t="s">
        <v>0</v>
      </c>
      <c r="G10" s="363" t="str">
        <f>VLOOKUP($F10,'参加チーム'!$B$5:$F$73,IF($M$2=1,3,4),FALSE)</f>
        <v>ステラミーゴ</v>
      </c>
      <c r="H10" s="201">
        <f>IF(I10&lt;&gt;"",I10+I11,"")</f>
      </c>
      <c r="I10" s="77"/>
      <c r="J10" s="215" t="s">
        <v>80</v>
      </c>
      <c r="K10" s="77"/>
      <c r="L10" s="201">
        <f>IF(K10&lt;&gt;"",K10+K11,"")</f>
      </c>
      <c r="M10" s="76" t="s">
        <v>4</v>
      </c>
      <c r="N10" s="363" t="str">
        <f>VLOOKUP($M10,'参加チーム'!$B$5:$F$73,IF($M$2=1,3,4),FALSE)</f>
        <v>ヴィヴァーレ</v>
      </c>
      <c r="O10" s="211" t="str">
        <f>+N10</f>
        <v>ヴィヴァーレ</v>
      </c>
      <c r="P10" s="317" t="str">
        <f>+N10</f>
        <v>ヴィヴァーレ</v>
      </c>
      <c r="R10" s="96" t="str">
        <f>+"前"&amp;F10&amp;M10</f>
        <v>前北Ｄ北Ｂ</v>
      </c>
      <c r="S10" s="97">
        <f>IF(H10&lt;&gt;"",H10,"")</f>
      </c>
      <c r="T10" s="97">
        <f>IF(L10&lt;&gt;"",L10,"")</f>
      </c>
      <c r="U10" s="98">
        <f>+B10</f>
        <v>40336</v>
      </c>
    </row>
    <row r="11" spans="1:21" ht="14.25">
      <c r="A11" s="226"/>
      <c r="B11" s="239"/>
      <c r="C11" s="318"/>
      <c r="D11" s="220"/>
      <c r="E11" s="202"/>
      <c r="F11" s="78" t="str">
        <f>LEFT(VLOOKUP(F10,'参加チーム'!$B$5:$F$73,5,FALSE),2)</f>
        <v>岩手</v>
      </c>
      <c r="G11" s="362"/>
      <c r="H11" s="202"/>
      <c r="I11" s="79"/>
      <c r="J11" s="205"/>
      <c r="K11" s="79"/>
      <c r="L11" s="202"/>
      <c r="M11" s="78" t="str">
        <f>LEFT(VLOOKUP(M10,'参加チーム'!$B$5:$F$73,5,FALSE),2)</f>
        <v>岩手</v>
      </c>
      <c r="N11" s="362"/>
      <c r="O11" s="199"/>
      <c r="P11" s="319"/>
      <c r="R11" s="99" t="str">
        <f>+"前"&amp;M10&amp;F10</f>
        <v>前北Ｂ北Ｄ</v>
      </c>
      <c r="S11" s="90">
        <f>IF(L10&lt;&gt;"",L10,"")</f>
      </c>
      <c r="T11" s="90">
        <f>IF(H10&lt;&gt;"",H10,"")</f>
      </c>
      <c r="U11" s="100">
        <f>+B10</f>
        <v>40336</v>
      </c>
    </row>
    <row r="12" spans="1:21" ht="14.25">
      <c r="A12" s="226"/>
      <c r="B12" s="239"/>
      <c r="C12" s="318"/>
      <c r="D12" s="219">
        <v>2</v>
      </c>
      <c r="E12" s="214">
        <v>0.513888888888889</v>
      </c>
      <c r="F12" s="80" t="s">
        <v>3</v>
      </c>
      <c r="G12" s="361" t="str">
        <f>VLOOKUP($F12,'参加チーム'!$B$5:$F$73,IF($M$2=1,3,4),FALSE)</f>
        <v>PIETRA</v>
      </c>
      <c r="H12" s="203">
        <f>IF(I12&lt;&gt;"",I12+I13,"")</f>
      </c>
      <c r="I12" s="79"/>
      <c r="J12" s="204" t="s">
        <v>80</v>
      </c>
      <c r="K12" s="79"/>
      <c r="L12" s="203">
        <f>IF(K12&lt;&gt;"",K12+K13,"")</f>
      </c>
      <c r="M12" s="80" t="s">
        <v>5</v>
      </c>
      <c r="N12" s="361" t="str">
        <f>VLOOKUP($M12,'参加チーム'!$B$5:$F$73,IF($M$2=1,3,4),FALSE)</f>
        <v>Carioca</v>
      </c>
      <c r="O12" s="198" t="str">
        <f>+N12</f>
        <v>Carioca</v>
      </c>
      <c r="P12" s="319"/>
      <c r="R12" s="99" t="str">
        <f>+"前"&amp;F12&amp;M12</f>
        <v>前北Ｆ北Ｃ</v>
      </c>
      <c r="S12" s="90">
        <f>IF(H12&lt;&gt;"",H12,"")</f>
      </c>
      <c r="T12" s="90">
        <f>IF(L12&lt;&gt;"",L12,"")</f>
      </c>
      <c r="U12" s="100">
        <f>+B10</f>
        <v>40336</v>
      </c>
    </row>
    <row r="13" spans="1:21" ht="14.25">
      <c r="A13" s="226"/>
      <c r="B13" s="239"/>
      <c r="C13" s="351" t="s">
        <v>248</v>
      </c>
      <c r="D13" s="220"/>
      <c r="E13" s="202"/>
      <c r="F13" s="78" t="str">
        <f>LEFT(VLOOKUP(F12,'参加チーム'!$B$5:$F$73,5,FALSE),2)</f>
        <v>秋田</v>
      </c>
      <c r="G13" s="362"/>
      <c r="H13" s="202"/>
      <c r="I13" s="79"/>
      <c r="J13" s="205"/>
      <c r="K13" s="79"/>
      <c r="L13" s="202"/>
      <c r="M13" s="78" t="str">
        <f>LEFT(VLOOKUP(M12,'参加チーム'!$B$5:$F$73,5,FALSE),2)</f>
        <v>岩手</v>
      </c>
      <c r="N13" s="362"/>
      <c r="O13" s="199"/>
      <c r="P13" s="319"/>
      <c r="R13" s="99" t="str">
        <f>+"前"&amp;M12&amp;F12</f>
        <v>前北Ｃ北Ｆ</v>
      </c>
      <c r="S13" s="90">
        <f>IF(L12&lt;&gt;"",L12,"")</f>
      </c>
      <c r="T13" s="90">
        <f>IF(H12&lt;&gt;"",H12,"")</f>
      </c>
      <c r="U13" s="100">
        <f>+B10</f>
        <v>40336</v>
      </c>
    </row>
    <row r="14" spans="1:21" ht="14.25">
      <c r="A14" s="226"/>
      <c r="B14" s="239"/>
      <c r="C14" s="351"/>
      <c r="D14" s="219">
        <v>3</v>
      </c>
      <c r="E14" s="214">
        <v>0.5902777777777778</v>
      </c>
      <c r="F14" s="80" t="s">
        <v>2</v>
      </c>
      <c r="G14" s="361" t="str">
        <f>VLOOKUP($F14,'参加チーム'!$B$5:$F$73,IF($M$2=1,3,4),FALSE)</f>
        <v>Rion</v>
      </c>
      <c r="H14" s="203">
        <f>IF(I14&lt;&gt;"",I14+I15,"")</f>
      </c>
      <c r="I14" s="79"/>
      <c r="J14" s="204" t="s">
        <v>80</v>
      </c>
      <c r="K14" s="79"/>
      <c r="L14" s="203">
        <f>IF(K14&lt;&gt;"",K14+K15,"")</f>
      </c>
      <c r="M14" s="80" t="s">
        <v>1</v>
      </c>
      <c r="N14" s="361" t="str">
        <f>VLOOKUP($M14,'参加チーム'!$B$5:$F$73,IF($M$2=1,3,4),FALSE)</f>
        <v>Itatica</v>
      </c>
      <c r="O14" s="198" t="str">
        <f>+N14</f>
        <v>Itatica</v>
      </c>
      <c r="P14" s="319"/>
      <c r="R14" s="99" t="str">
        <f>+"前"&amp;F14&amp;M14</f>
        <v>前北Ｅ北Ａ</v>
      </c>
      <c r="S14" s="90">
        <f>IF(H14&lt;&gt;"",H14,"")</f>
      </c>
      <c r="T14" s="90">
        <f>IF(L14&lt;&gt;"",L14,"")</f>
      </c>
      <c r="U14" s="100">
        <f>+B10</f>
        <v>40336</v>
      </c>
    </row>
    <row r="15" spans="1:21" ht="15" thickBot="1">
      <c r="A15" s="227"/>
      <c r="B15" s="240"/>
      <c r="C15" s="352"/>
      <c r="D15" s="221"/>
      <c r="E15" s="212"/>
      <c r="F15" s="81" t="str">
        <f>LEFT(VLOOKUP(F14,'参加チーム'!$B$5:$F$73,5,FALSE),2)</f>
        <v>秋田</v>
      </c>
      <c r="G15" s="240"/>
      <c r="H15" s="212"/>
      <c r="I15" s="82"/>
      <c r="J15" s="213"/>
      <c r="K15" s="82"/>
      <c r="L15" s="212"/>
      <c r="M15" s="81" t="str">
        <f>LEFT(VLOOKUP(M14,'参加チーム'!$B$5:$F$73,5,FALSE),2)</f>
        <v>青森</v>
      </c>
      <c r="N15" s="240"/>
      <c r="O15" s="200"/>
      <c r="P15" s="323"/>
      <c r="R15" s="102" t="str">
        <f>+"前"&amp;M14&amp;F14</f>
        <v>前北Ａ北Ｅ</v>
      </c>
      <c r="S15" s="103">
        <f>IF(L14&lt;&gt;"",L14,"")</f>
      </c>
      <c r="T15" s="103">
        <f>IF(H14&lt;&gt;"",H14,"")</f>
      </c>
      <c r="U15" s="104">
        <f>+B10</f>
        <v>40336</v>
      </c>
    </row>
    <row r="16" spans="1:21" ht="14.25">
      <c r="A16" s="225">
        <v>3</v>
      </c>
      <c r="B16" s="315">
        <v>40343</v>
      </c>
      <c r="C16" s="316" t="s">
        <v>51</v>
      </c>
      <c r="D16" s="233">
        <v>1</v>
      </c>
      <c r="E16" s="217">
        <v>0.4375</v>
      </c>
      <c r="F16" s="76" t="s">
        <v>3</v>
      </c>
      <c r="G16" s="363" t="str">
        <f>VLOOKUP($F16,'参加チーム'!$B$5:$F$73,IF($M$2=1,3,4),FALSE)</f>
        <v>PIETRA</v>
      </c>
      <c r="H16" s="201">
        <f>IF(I16&lt;&gt;"",I16+I17,"")</f>
      </c>
      <c r="I16" s="77"/>
      <c r="J16" s="215" t="s">
        <v>80</v>
      </c>
      <c r="K16" s="77"/>
      <c r="L16" s="201">
        <f>IF(K16&lt;&gt;"",K16+K17,"")</f>
      </c>
      <c r="M16" s="76" t="s">
        <v>2</v>
      </c>
      <c r="N16" s="363" t="str">
        <f>VLOOKUP($M16,'参加チーム'!$B$5:$F$73,IF($M$2=1,3,4),FALSE)</f>
        <v>Rion</v>
      </c>
      <c r="O16" s="211" t="str">
        <f>+N16</f>
        <v>Rion</v>
      </c>
      <c r="P16" s="317" t="str">
        <f>+N16</f>
        <v>Rion</v>
      </c>
      <c r="R16" s="96" t="str">
        <f>+"前"&amp;F16&amp;M16</f>
        <v>前北Ｆ北Ｅ</v>
      </c>
      <c r="S16" s="97">
        <f>IF(H16&lt;&gt;"",H16,"")</f>
      </c>
      <c r="T16" s="97">
        <f>IF(L16&lt;&gt;"",L16,"")</f>
      </c>
      <c r="U16" s="98">
        <f>+B16</f>
        <v>40343</v>
      </c>
    </row>
    <row r="17" spans="1:21" ht="14.25">
      <c r="A17" s="226"/>
      <c r="B17" s="239"/>
      <c r="C17" s="318"/>
      <c r="D17" s="220"/>
      <c r="E17" s="202"/>
      <c r="F17" s="78" t="str">
        <f>LEFT(VLOOKUP(F16,'参加チーム'!$B$5:$F$73,5,FALSE),2)</f>
        <v>秋田</v>
      </c>
      <c r="G17" s="362"/>
      <c r="H17" s="202"/>
      <c r="I17" s="79"/>
      <c r="J17" s="205"/>
      <c r="K17" s="79"/>
      <c r="L17" s="202"/>
      <c r="M17" s="78" t="str">
        <f>LEFT(VLOOKUP(M16,'参加チーム'!$B$5:$F$73,5,FALSE),2)</f>
        <v>秋田</v>
      </c>
      <c r="N17" s="362"/>
      <c r="O17" s="199"/>
      <c r="P17" s="319"/>
      <c r="R17" s="99" t="str">
        <f>+"前"&amp;M16&amp;F16</f>
        <v>前北Ｅ北Ｆ</v>
      </c>
      <c r="S17" s="90">
        <f>IF(L16&lt;&gt;"",L16,"")</f>
      </c>
      <c r="T17" s="90">
        <f>IF(H16&lt;&gt;"",H16,"")</f>
      </c>
      <c r="U17" s="100">
        <f>+B16</f>
        <v>40343</v>
      </c>
    </row>
    <row r="18" spans="1:21" ht="14.25">
      <c r="A18" s="226"/>
      <c r="B18" s="239"/>
      <c r="C18" s="318"/>
      <c r="D18" s="219">
        <v>2</v>
      </c>
      <c r="E18" s="214">
        <v>0.513888888888889</v>
      </c>
      <c r="F18" s="80" t="s">
        <v>1</v>
      </c>
      <c r="G18" s="361" t="str">
        <f>VLOOKUP($F18,'参加チーム'!$B$5:$F$73,IF($M$2=1,3,4),FALSE)</f>
        <v>Itatica</v>
      </c>
      <c r="H18" s="203">
        <f>IF(I18&lt;&gt;"",I18+I19,"")</f>
      </c>
      <c r="I18" s="79"/>
      <c r="J18" s="204" t="s">
        <v>80</v>
      </c>
      <c r="K18" s="79"/>
      <c r="L18" s="203">
        <f>IF(K18&lt;&gt;"",K18+K19,"")</f>
      </c>
      <c r="M18" s="80" t="s">
        <v>0</v>
      </c>
      <c r="N18" s="361" t="str">
        <f>VLOOKUP($M18,'参加チーム'!$B$5:$F$73,IF($M$2=1,3,4),FALSE)</f>
        <v>ステラミーゴ</v>
      </c>
      <c r="O18" s="198" t="str">
        <f>+N18</f>
        <v>ステラミーゴ</v>
      </c>
      <c r="P18" s="319"/>
      <c r="R18" s="99" t="str">
        <f>+"前"&amp;F18&amp;M18</f>
        <v>前北Ａ北Ｄ</v>
      </c>
      <c r="S18" s="90">
        <f>IF(H18&lt;&gt;"",H18,"")</f>
      </c>
      <c r="T18" s="90">
        <f>IF(L18&lt;&gt;"",L18,"")</f>
      </c>
      <c r="U18" s="100">
        <f>+B16</f>
        <v>40343</v>
      </c>
    </row>
    <row r="19" spans="1:21" ht="14.25" customHeight="1">
      <c r="A19" s="226"/>
      <c r="B19" s="239"/>
      <c r="C19" s="351" t="s">
        <v>249</v>
      </c>
      <c r="D19" s="220"/>
      <c r="E19" s="202"/>
      <c r="F19" s="78" t="str">
        <f>LEFT(VLOOKUP(F18,'参加チーム'!$B$5:$F$73,5,FALSE),2)</f>
        <v>青森</v>
      </c>
      <c r="G19" s="362"/>
      <c r="H19" s="202"/>
      <c r="I19" s="79"/>
      <c r="J19" s="205"/>
      <c r="K19" s="79"/>
      <c r="L19" s="202"/>
      <c r="M19" s="78" t="str">
        <f>LEFT(VLOOKUP(M18,'参加チーム'!$B$5:$F$73,5,FALSE),2)</f>
        <v>岩手</v>
      </c>
      <c r="N19" s="362"/>
      <c r="O19" s="199"/>
      <c r="P19" s="319"/>
      <c r="R19" s="99" t="str">
        <f>+"前"&amp;M18&amp;F18</f>
        <v>前北Ｄ北Ａ</v>
      </c>
      <c r="S19" s="90">
        <f>IF(L18&lt;&gt;"",L18,"")</f>
      </c>
      <c r="T19" s="90">
        <f>IF(H18&lt;&gt;"",H18,"")</f>
      </c>
      <c r="U19" s="100">
        <f>+B16</f>
        <v>40343</v>
      </c>
    </row>
    <row r="20" spans="1:21" ht="14.25">
      <c r="A20" s="226"/>
      <c r="B20" s="239"/>
      <c r="C20" s="351"/>
      <c r="D20" s="219">
        <v>3</v>
      </c>
      <c r="E20" s="214">
        <v>0.5902777777777778</v>
      </c>
      <c r="F20" s="80" t="s">
        <v>5</v>
      </c>
      <c r="G20" s="361" t="str">
        <f>VLOOKUP($F20,'参加チーム'!$B$5:$F$73,IF($M$2=1,3,4),FALSE)</f>
        <v>Carioca</v>
      </c>
      <c r="H20" s="203">
        <f>IF(I20&lt;&gt;"",I20+I21,"")</f>
      </c>
      <c r="I20" s="79"/>
      <c r="J20" s="204" t="s">
        <v>80</v>
      </c>
      <c r="K20" s="79"/>
      <c r="L20" s="203">
        <f>IF(K20&lt;&gt;"",K20+K21,"")</f>
      </c>
      <c r="M20" s="80" t="s">
        <v>4</v>
      </c>
      <c r="N20" s="361" t="str">
        <f>VLOOKUP($M20,'参加チーム'!$B$5:$F$73,IF($M$2=1,3,4),FALSE)</f>
        <v>ヴィヴァーレ</v>
      </c>
      <c r="O20" s="198" t="str">
        <f>+N20</f>
        <v>ヴィヴァーレ</v>
      </c>
      <c r="P20" s="319"/>
      <c r="R20" s="99" t="str">
        <f>+"前"&amp;F20&amp;M20</f>
        <v>前北Ｃ北Ｂ</v>
      </c>
      <c r="S20" s="90">
        <f>IF(H20&lt;&gt;"",H20,"")</f>
      </c>
      <c r="T20" s="90">
        <f>IF(L20&lt;&gt;"",L20,"")</f>
      </c>
      <c r="U20" s="100">
        <f>+B16</f>
        <v>40343</v>
      </c>
    </row>
    <row r="21" spans="1:21" ht="15" thickBot="1">
      <c r="A21" s="227"/>
      <c r="B21" s="240"/>
      <c r="C21" s="352"/>
      <c r="D21" s="221"/>
      <c r="E21" s="212"/>
      <c r="F21" s="81" t="str">
        <f>LEFT(VLOOKUP(F20,'参加チーム'!$B$5:$F$73,5,FALSE),2)</f>
        <v>岩手</v>
      </c>
      <c r="G21" s="240"/>
      <c r="H21" s="212"/>
      <c r="I21" s="82"/>
      <c r="J21" s="213"/>
      <c r="K21" s="82"/>
      <c r="L21" s="212"/>
      <c r="M21" s="81" t="str">
        <f>LEFT(VLOOKUP(M20,'参加チーム'!$B$5:$F$73,5,FALSE),2)</f>
        <v>岩手</v>
      </c>
      <c r="N21" s="240"/>
      <c r="O21" s="200"/>
      <c r="P21" s="323"/>
      <c r="R21" s="102" t="str">
        <f>+"前"&amp;M20&amp;F20</f>
        <v>前北Ｂ北Ｃ</v>
      </c>
      <c r="S21" s="103">
        <f>IF(L20&lt;&gt;"",L20,"")</f>
      </c>
      <c r="T21" s="103">
        <f>IF(H20&lt;&gt;"",H20,"")</f>
      </c>
      <c r="U21" s="104">
        <f>+B16</f>
        <v>40343</v>
      </c>
    </row>
    <row r="22" spans="1:21" ht="14.25">
      <c r="A22" s="225">
        <v>4</v>
      </c>
      <c r="B22" s="315">
        <v>40357</v>
      </c>
      <c r="C22" s="316" t="s">
        <v>49</v>
      </c>
      <c r="D22" s="233">
        <v>1</v>
      </c>
      <c r="E22" s="217">
        <v>0.4375</v>
      </c>
      <c r="F22" s="76" t="s">
        <v>5</v>
      </c>
      <c r="G22" s="363" t="str">
        <f>VLOOKUP($F22,'参加チーム'!$B$5:$F$73,IF($M$2=1,3,4),FALSE)</f>
        <v>Carioca</v>
      </c>
      <c r="H22" s="201">
        <f>IF(I22&lt;&gt;"",I22+I23,"")</f>
      </c>
      <c r="I22" s="77"/>
      <c r="J22" s="215" t="s">
        <v>80</v>
      </c>
      <c r="K22" s="77"/>
      <c r="L22" s="201">
        <f>IF(K22&lt;&gt;"",K22+K23,"")</f>
      </c>
      <c r="M22" s="76" t="s">
        <v>1</v>
      </c>
      <c r="N22" s="363" t="str">
        <f>VLOOKUP($M22,'参加チーム'!$B$5:$F$73,IF($M$2=1,3,4),FALSE)</f>
        <v>Itatica</v>
      </c>
      <c r="O22" s="211" t="str">
        <f>+N22</f>
        <v>Itatica</v>
      </c>
      <c r="P22" s="317" t="str">
        <f>+G22</f>
        <v>Carioca</v>
      </c>
      <c r="R22" s="96" t="str">
        <f>+"中"&amp;F22&amp;M22</f>
        <v>中北Ｃ北Ａ</v>
      </c>
      <c r="S22" s="97">
        <f>IF(H22&lt;&gt;"",H22,"")</f>
      </c>
      <c r="T22" s="97">
        <f>IF(L22&lt;&gt;"",L22,"")</f>
      </c>
      <c r="U22" s="98">
        <f>+B22</f>
        <v>40357</v>
      </c>
    </row>
    <row r="23" spans="1:21" ht="14.25">
      <c r="A23" s="226"/>
      <c r="B23" s="239"/>
      <c r="C23" s="318"/>
      <c r="D23" s="220"/>
      <c r="E23" s="202"/>
      <c r="F23" s="78" t="str">
        <f>LEFT(VLOOKUP(F22,'参加チーム'!$B$5:$F$73,5,FALSE),2)</f>
        <v>岩手</v>
      </c>
      <c r="G23" s="362"/>
      <c r="H23" s="202"/>
      <c r="I23" s="79"/>
      <c r="J23" s="205"/>
      <c r="K23" s="79"/>
      <c r="L23" s="202"/>
      <c r="M23" s="78" t="str">
        <f>LEFT(VLOOKUP(M22,'参加チーム'!$B$5:$F$73,5,FALSE),2)</f>
        <v>青森</v>
      </c>
      <c r="N23" s="362"/>
      <c r="O23" s="199"/>
      <c r="P23" s="319"/>
      <c r="R23" s="99" t="str">
        <f>+"中"&amp;M22&amp;F22</f>
        <v>中北Ａ北Ｃ</v>
      </c>
      <c r="S23" s="90">
        <f>IF(L22&lt;&gt;"",L22,"")</f>
      </c>
      <c r="T23" s="90">
        <f>IF(H22&lt;&gt;"",H22,"")</f>
      </c>
      <c r="U23" s="100">
        <f>+B22</f>
        <v>40357</v>
      </c>
    </row>
    <row r="24" spans="1:21" ht="14.25">
      <c r="A24" s="226"/>
      <c r="B24" s="239"/>
      <c r="C24" s="318"/>
      <c r="D24" s="219">
        <v>2</v>
      </c>
      <c r="E24" s="214">
        <v>0.513888888888889</v>
      </c>
      <c r="F24" s="80" t="s">
        <v>4</v>
      </c>
      <c r="G24" s="361" t="str">
        <f>VLOOKUP($F24,'参加チーム'!$B$5:$F$73,IF($M$2=1,3,4),FALSE)</f>
        <v>ヴィヴァーレ</v>
      </c>
      <c r="H24" s="203">
        <f>IF(I24&lt;&gt;"",I24+I25,"")</f>
      </c>
      <c r="I24" s="79"/>
      <c r="J24" s="204" t="s">
        <v>80</v>
      </c>
      <c r="K24" s="79"/>
      <c r="L24" s="203">
        <f>IF(K24&lt;&gt;"",K24+K25,"")</f>
      </c>
      <c r="M24" s="80" t="s">
        <v>3</v>
      </c>
      <c r="N24" s="361" t="str">
        <f>VLOOKUP($M24,'参加チーム'!$B$5:$F$73,IF($M$2=1,3,4),FALSE)</f>
        <v>PIETRA</v>
      </c>
      <c r="O24" s="198" t="str">
        <f>+N24</f>
        <v>PIETRA</v>
      </c>
      <c r="P24" s="319"/>
      <c r="R24" s="99" t="str">
        <f>+"中"&amp;F24&amp;M24</f>
        <v>中北Ｂ北Ｆ</v>
      </c>
      <c r="S24" s="90">
        <f>IF(H24&lt;&gt;"",H24,"")</f>
      </c>
      <c r="T24" s="90">
        <f>IF(L24&lt;&gt;"",L24,"")</f>
      </c>
      <c r="U24" s="100">
        <f>+B22</f>
        <v>40357</v>
      </c>
    </row>
    <row r="25" spans="1:21" ht="14.25">
      <c r="A25" s="226"/>
      <c r="B25" s="239"/>
      <c r="C25" s="351" t="s">
        <v>250</v>
      </c>
      <c r="D25" s="220"/>
      <c r="E25" s="202"/>
      <c r="F25" s="78" t="str">
        <f>LEFT(VLOOKUP(F24,'参加チーム'!$B$5:$F$73,5,FALSE),2)</f>
        <v>岩手</v>
      </c>
      <c r="G25" s="362"/>
      <c r="H25" s="202"/>
      <c r="I25" s="79"/>
      <c r="J25" s="205"/>
      <c r="K25" s="79"/>
      <c r="L25" s="202"/>
      <c r="M25" s="78" t="str">
        <f>LEFT(VLOOKUP(M24,'参加チーム'!$B$5:$F$73,5,FALSE),2)</f>
        <v>秋田</v>
      </c>
      <c r="N25" s="362"/>
      <c r="O25" s="199"/>
      <c r="P25" s="319"/>
      <c r="R25" s="99" t="str">
        <f>+"中"&amp;M24&amp;F24</f>
        <v>中北Ｆ北Ｂ</v>
      </c>
      <c r="S25" s="90">
        <f>IF(L24&lt;&gt;"",L24,"")</f>
      </c>
      <c r="T25" s="90">
        <f>IF(H24&lt;&gt;"",H24,"")</f>
      </c>
      <c r="U25" s="100">
        <f>+B22</f>
        <v>40357</v>
      </c>
    </row>
    <row r="26" spans="1:21" ht="14.25">
      <c r="A26" s="226"/>
      <c r="B26" s="239"/>
      <c r="C26" s="351"/>
      <c r="D26" s="219">
        <v>3</v>
      </c>
      <c r="E26" s="214">
        <v>0.5902777777777778</v>
      </c>
      <c r="F26" s="80" t="s">
        <v>2</v>
      </c>
      <c r="G26" s="361" t="str">
        <f>VLOOKUP($F26,'参加チーム'!$B$5:$F$73,IF($M$2=1,3,4),FALSE)</f>
        <v>Rion</v>
      </c>
      <c r="H26" s="203">
        <f>IF(I26&lt;&gt;"",I26+I27,"")</f>
      </c>
      <c r="I26" s="79"/>
      <c r="J26" s="204" t="s">
        <v>80</v>
      </c>
      <c r="K26" s="79"/>
      <c r="L26" s="203">
        <f>IF(K26&lt;&gt;"",K26+K27,"")</f>
      </c>
      <c r="M26" s="80" t="s">
        <v>0</v>
      </c>
      <c r="N26" s="361" t="str">
        <f>VLOOKUP($M26,'参加チーム'!$B$5:$F$73,IF($M$2=1,3,4),FALSE)</f>
        <v>ステラミーゴ</v>
      </c>
      <c r="O26" s="198" t="str">
        <f>+N26</f>
        <v>ステラミーゴ</v>
      </c>
      <c r="P26" s="319"/>
      <c r="R26" s="99" t="str">
        <f>+"中"&amp;F26&amp;M26</f>
        <v>中北Ｅ北Ｄ</v>
      </c>
      <c r="S26" s="90">
        <f>IF(H26&lt;&gt;"",H26,"")</f>
      </c>
      <c r="T26" s="90">
        <f>IF(L26&lt;&gt;"",L26,"")</f>
      </c>
      <c r="U26" s="100">
        <f>+B22</f>
        <v>40357</v>
      </c>
    </row>
    <row r="27" spans="1:21" ht="15" thickBot="1">
      <c r="A27" s="227"/>
      <c r="B27" s="240"/>
      <c r="C27" s="352"/>
      <c r="D27" s="221"/>
      <c r="E27" s="212"/>
      <c r="F27" s="81" t="str">
        <f>LEFT(VLOOKUP(F26,'参加チーム'!$B$5:$F$73,5,FALSE),2)</f>
        <v>秋田</v>
      </c>
      <c r="G27" s="240"/>
      <c r="H27" s="212"/>
      <c r="I27" s="82"/>
      <c r="J27" s="213"/>
      <c r="K27" s="82"/>
      <c r="L27" s="212"/>
      <c r="M27" s="81" t="str">
        <f>LEFT(VLOOKUP(M26,'参加チーム'!$B$5:$F$73,5,FALSE),2)</f>
        <v>岩手</v>
      </c>
      <c r="N27" s="240"/>
      <c r="O27" s="200"/>
      <c r="P27" s="323"/>
      <c r="R27" s="102" t="str">
        <f>+"中"&amp;M26&amp;F26</f>
        <v>中北Ｄ北Ｅ</v>
      </c>
      <c r="S27" s="103">
        <f>IF(L26&lt;&gt;"",L26,"")</f>
      </c>
      <c r="T27" s="103">
        <f>IF(H26&lt;&gt;"",H26,"")</f>
      </c>
      <c r="U27" s="104">
        <f>+B22</f>
        <v>40357</v>
      </c>
    </row>
    <row r="28" spans="1:21" ht="14.25">
      <c r="A28" s="225">
        <v>5</v>
      </c>
      <c r="B28" s="315">
        <v>40371</v>
      </c>
      <c r="C28" s="316" t="s">
        <v>49</v>
      </c>
      <c r="D28" s="233">
        <v>1</v>
      </c>
      <c r="E28" s="217">
        <v>0.4375</v>
      </c>
      <c r="F28" s="76" t="s">
        <v>2</v>
      </c>
      <c r="G28" s="363" t="str">
        <f>VLOOKUP($F28,'参加チーム'!$B$5:$F$73,IF($M$2=1,3,4),FALSE)</f>
        <v>Rion</v>
      </c>
      <c r="H28" s="201">
        <f>IF(I28&lt;&gt;"",I28+I29,"")</f>
      </c>
      <c r="I28" s="77"/>
      <c r="J28" s="215" t="s">
        <v>80</v>
      </c>
      <c r="K28" s="77"/>
      <c r="L28" s="201">
        <f>IF(K28&lt;&gt;"",K28+K29,"")</f>
      </c>
      <c r="M28" s="76" t="s">
        <v>5</v>
      </c>
      <c r="N28" s="363" t="str">
        <f>VLOOKUP($M28,'参加チーム'!$B$5:$F$73,IF($M$2=1,3,4),FALSE)</f>
        <v>Carioca</v>
      </c>
      <c r="O28" s="211" t="str">
        <f>+N28</f>
        <v>Carioca</v>
      </c>
      <c r="P28" s="317" t="str">
        <f>+G32</f>
        <v>Itatica</v>
      </c>
      <c r="R28" s="96" t="str">
        <f>+"中"&amp;F28&amp;M28</f>
        <v>中北Ｅ北Ｃ</v>
      </c>
      <c r="S28" s="97">
        <f>IF(H28&lt;&gt;"",H28,"")</f>
      </c>
      <c r="T28" s="97">
        <f>IF(L28&lt;&gt;"",L28,"")</f>
      </c>
      <c r="U28" s="98">
        <f>+B28</f>
        <v>40371</v>
      </c>
    </row>
    <row r="29" spans="1:21" ht="14.25">
      <c r="A29" s="226"/>
      <c r="B29" s="239"/>
      <c r="C29" s="318"/>
      <c r="D29" s="220"/>
      <c r="E29" s="202"/>
      <c r="F29" s="78" t="str">
        <f>LEFT(VLOOKUP(F28,'参加チーム'!$B$5:$F$73,5,FALSE),2)</f>
        <v>秋田</v>
      </c>
      <c r="G29" s="362"/>
      <c r="H29" s="202"/>
      <c r="I29" s="79"/>
      <c r="J29" s="205"/>
      <c r="K29" s="79"/>
      <c r="L29" s="202"/>
      <c r="M29" s="78" t="str">
        <f>LEFT(VLOOKUP(M28,'参加チーム'!$B$5:$F$73,5,FALSE),2)</f>
        <v>岩手</v>
      </c>
      <c r="N29" s="362"/>
      <c r="O29" s="199"/>
      <c r="P29" s="319"/>
      <c r="R29" s="99" t="str">
        <f>+"中"&amp;M28&amp;F28</f>
        <v>中北Ｃ北Ｅ</v>
      </c>
      <c r="S29" s="90">
        <f>IF(L28&lt;&gt;"",L28,"")</f>
      </c>
      <c r="T29" s="90">
        <f>IF(H28&lt;&gt;"",H28,"")</f>
      </c>
      <c r="U29" s="100">
        <f>+B28</f>
        <v>40371</v>
      </c>
    </row>
    <row r="30" spans="1:21" ht="14.25">
      <c r="A30" s="226"/>
      <c r="B30" s="239"/>
      <c r="C30" s="318"/>
      <c r="D30" s="219">
        <v>2</v>
      </c>
      <c r="E30" s="214">
        <v>0.513888888888889</v>
      </c>
      <c r="F30" s="80" t="s">
        <v>0</v>
      </c>
      <c r="G30" s="361" t="str">
        <f>VLOOKUP($F30,'参加チーム'!$B$5:$F$73,IF($M$2=1,3,4),FALSE)</f>
        <v>ステラミーゴ</v>
      </c>
      <c r="H30" s="203">
        <f>IF(I30&lt;&gt;"",I30+I31,"")</f>
      </c>
      <c r="I30" s="79"/>
      <c r="J30" s="204" t="s">
        <v>80</v>
      </c>
      <c r="K30" s="79"/>
      <c r="L30" s="203">
        <f>IF(K30&lt;&gt;"",K30+K31,"")</f>
      </c>
      <c r="M30" s="80" t="s">
        <v>253</v>
      </c>
      <c r="N30" s="361" t="str">
        <f>VLOOKUP($M30,'参加チーム'!$B$5:$F$73,IF($M$2=1,3,4),FALSE)</f>
        <v>PIETRA</v>
      </c>
      <c r="O30" s="198" t="str">
        <f>+N30</f>
        <v>PIETRA</v>
      </c>
      <c r="P30" s="319"/>
      <c r="R30" s="99" t="str">
        <f>+"中"&amp;F30&amp;M30</f>
        <v>中北Ｄ北Ｆ</v>
      </c>
      <c r="S30" s="90">
        <f>IF(H30&lt;&gt;"",H30,"")</f>
      </c>
      <c r="T30" s="90">
        <f>IF(L30&lt;&gt;"",L30,"")</f>
      </c>
      <c r="U30" s="100">
        <f>+B28</f>
        <v>40371</v>
      </c>
    </row>
    <row r="31" spans="1:21" ht="14.25">
      <c r="A31" s="226"/>
      <c r="B31" s="239"/>
      <c r="C31" s="351" t="s">
        <v>251</v>
      </c>
      <c r="D31" s="220"/>
      <c r="E31" s="202"/>
      <c r="F31" s="78" t="str">
        <f>LEFT(VLOOKUP(F30,'参加チーム'!$B$5:$F$73,5,FALSE),2)</f>
        <v>岩手</v>
      </c>
      <c r="G31" s="362"/>
      <c r="H31" s="202"/>
      <c r="I31" s="79"/>
      <c r="J31" s="205"/>
      <c r="K31" s="79"/>
      <c r="L31" s="202"/>
      <c r="M31" s="78" t="str">
        <f>LEFT(VLOOKUP(M30,'参加チーム'!$B$5:$F$73,5,FALSE),2)</f>
        <v>秋田</v>
      </c>
      <c r="N31" s="362"/>
      <c r="O31" s="199"/>
      <c r="P31" s="319"/>
      <c r="R31" s="99" t="str">
        <f>+"中"&amp;M30&amp;F30</f>
        <v>中北Ｆ北Ｄ</v>
      </c>
      <c r="S31" s="90">
        <f>IF(L30&lt;&gt;"",L30,"")</f>
      </c>
      <c r="T31" s="90">
        <f>IF(H30&lt;&gt;"",H30,"")</f>
      </c>
      <c r="U31" s="100">
        <f>+B28</f>
        <v>40371</v>
      </c>
    </row>
    <row r="32" spans="1:21" ht="14.25">
      <c r="A32" s="226"/>
      <c r="B32" s="239"/>
      <c r="C32" s="351"/>
      <c r="D32" s="219">
        <v>3</v>
      </c>
      <c r="E32" s="214">
        <v>0.5902777777777778</v>
      </c>
      <c r="F32" s="80" t="s">
        <v>1</v>
      </c>
      <c r="G32" s="361" t="str">
        <f>VLOOKUP($F32,'参加チーム'!$B$5:$F$73,IF($M$2=1,3,4),FALSE)</f>
        <v>Itatica</v>
      </c>
      <c r="H32" s="203">
        <f>IF(I32&lt;&gt;"",I32+I33,"")</f>
      </c>
      <c r="I32" s="79"/>
      <c r="J32" s="204" t="s">
        <v>80</v>
      </c>
      <c r="K32" s="79"/>
      <c r="L32" s="203">
        <f>IF(K32&lt;&gt;"",K32+K33,"")</f>
      </c>
      <c r="M32" s="80" t="s">
        <v>4</v>
      </c>
      <c r="N32" s="361" t="str">
        <f>VLOOKUP($M32,'参加チーム'!$B$5:$F$73,IF($M$2=1,3,4),FALSE)</f>
        <v>ヴィヴァーレ</v>
      </c>
      <c r="O32" s="198" t="str">
        <f>+N32</f>
        <v>ヴィヴァーレ</v>
      </c>
      <c r="P32" s="319"/>
      <c r="R32" s="99" t="str">
        <f>+"中"&amp;F32&amp;M32</f>
        <v>中北Ａ北Ｂ</v>
      </c>
      <c r="S32" s="90">
        <f>IF(H32&lt;&gt;"",H32,"")</f>
      </c>
      <c r="T32" s="90">
        <f>IF(L32&lt;&gt;"",L32,"")</f>
      </c>
      <c r="U32" s="100">
        <f>+B28</f>
        <v>40371</v>
      </c>
    </row>
    <row r="33" spans="1:21" ht="15" thickBot="1">
      <c r="A33" s="227"/>
      <c r="B33" s="240"/>
      <c r="C33" s="352"/>
      <c r="D33" s="221"/>
      <c r="E33" s="212"/>
      <c r="F33" s="81" t="str">
        <f>LEFT(VLOOKUP(F32,'参加チーム'!$B$5:$F$73,5,FALSE),2)</f>
        <v>青森</v>
      </c>
      <c r="G33" s="240"/>
      <c r="H33" s="212"/>
      <c r="I33" s="82"/>
      <c r="J33" s="213"/>
      <c r="K33" s="82"/>
      <c r="L33" s="212"/>
      <c r="M33" s="81" t="str">
        <f>LEFT(VLOOKUP(M32,'参加チーム'!$B$5:$F$73,5,FALSE),2)</f>
        <v>岩手</v>
      </c>
      <c r="N33" s="240"/>
      <c r="O33" s="200"/>
      <c r="P33" s="323"/>
      <c r="R33" s="102" t="str">
        <f>+"中"&amp;M32&amp;F32</f>
        <v>中北Ｂ北Ａ</v>
      </c>
      <c r="S33" s="103">
        <f>IF(L32&lt;&gt;"",L32,"")</f>
      </c>
      <c r="T33" s="103">
        <f>IF(H32&lt;&gt;"",H32,"")</f>
      </c>
      <c r="U33" s="104">
        <f>+B28</f>
        <v>40371</v>
      </c>
    </row>
    <row r="35" spans="1:19" ht="28.5" customHeight="1" thickBot="1">
      <c r="A35" s="261" t="s">
        <v>94</v>
      </c>
      <c r="B35" s="262"/>
      <c r="C35" s="353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R35" s="89"/>
      <c r="S35" s="90"/>
    </row>
    <row r="36" spans="1:19" ht="25.5" customHeight="1" thickBot="1">
      <c r="A36" s="263"/>
      <c r="B36" s="264" t="s">
        <v>45</v>
      </c>
      <c r="C36" s="354" t="s">
        <v>46</v>
      </c>
      <c r="D36" s="264" t="s">
        <v>102</v>
      </c>
      <c r="E36" s="264" t="s">
        <v>47</v>
      </c>
      <c r="F36" s="266"/>
      <c r="G36" s="267" t="s">
        <v>96</v>
      </c>
      <c r="H36" s="268" t="s">
        <v>48</v>
      </c>
      <c r="I36" s="268"/>
      <c r="J36" s="268"/>
      <c r="K36" s="268"/>
      <c r="L36" s="268"/>
      <c r="M36" s="266"/>
      <c r="N36" s="267" t="s">
        <v>103</v>
      </c>
      <c r="O36" s="264" t="s">
        <v>241</v>
      </c>
      <c r="P36" s="269" t="s">
        <v>44</v>
      </c>
      <c r="R36" s="90"/>
      <c r="S36" s="90"/>
    </row>
    <row r="37" spans="1:21" ht="14.25" customHeight="1">
      <c r="A37" s="270">
        <v>6</v>
      </c>
      <c r="B37" s="328">
        <v>40420</v>
      </c>
      <c r="C37" s="329" t="s">
        <v>51</v>
      </c>
      <c r="D37" s="273">
        <v>1</v>
      </c>
      <c r="E37" s="274">
        <v>0.4375</v>
      </c>
      <c r="F37" s="275"/>
      <c r="G37" s="276">
        <f>IF(F37&lt;&gt;"",VLOOKUP($F37,'参加チーム'!$B$5:$F$73,IF($M$2=1,3,4),FALSE),"")</f>
      </c>
      <c r="H37" s="277">
        <f>IF(I37&lt;&gt;"",I37+I38,"")</f>
      </c>
      <c r="I37" s="278"/>
      <c r="J37" s="279" t="s">
        <v>80</v>
      </c>
      <c r="K37" s="278"/>
      <c r="L37" s="277">
        <f>IF(K37&lt;&gt;"",K37+K38,"")</f>
      </c>
      <c r="M37" s="275"/>
      <c r="N37" s="276">
        <f>IF(M37&lt;&gt;"",VLOOKUP(M37,'参加チーム'!$B$5:$F$73,IF($M$2=1,3,4),FALSE),"")</f>
      </c>
      <c r="O37" s="280">
        <f>+N37</f>
      </c>
      <c r="P37" s="281">
        <f>+N39</f>
      </c>
      <c r="R37" s="96" t="str">
        <f>+"中"&amp;F37&amp;M37</f>
        <v>中</v>
      </c>
      <c r="S37" s="97">
        <f>IF(H37&lt;&gt;"",H37,"")</f>
      </c>
      <c r="T37" s="97">
        <f>IF(L37&lt;&gt;"",L37,"")</f>
      </c>
      <c r="U37" s="98">
        <f>+B37</f>
        <v>40420</v>
      </c>
    </row>
    <row r="38" spans="1:21" ht="14.25" customHeight="1">
      <c r="A38" s="282"/>
      <c r="B38" s="331"/>
      <c r="C38" s="332"/>
      <c r="D38" s="285"/>
      <c r="E38" s="286"/>
      <c r="F38" s="287">
        <f>IF(F37&lt;&gt;"",LEFT(VLOOKUP(F37,'参加チーム'!$B$5:$F$73,5,FALSE),2),"")</f>
      </c>
      <c r="G38" s="288"/>
      <c r="H38" s="286"/>
      <c r="I38" s="289"/>
      <c r="J38" s="290"/>
      <c r="K38" s="289"/>
      <c r="L38" s="286"/>
      <c r="M38" s="287">
        <f>IF(M37&lt;&gt;"",LEFT(VLOOKUP(M37,'参加チーム'!$B$5:$F$73,5,FALSE),2),"")</f>
      </c>
      <c r="N38" s="288"/>
      <c r="O38" s="291"/>
      <c r="P38" s="292"/>
      <c r="R38" s="99" t="str">
        <f>+"中"&amp;M37&amp;F37</f>
        <v>中</v>
      </c>
      <c r="S38" s="90">
        <f>IF(L37&lt;&gt;"",L37,"")</f>
      </c>
      <c r="T38" s="90">
        <f>IF(H37&lt;&gt;"",H37,"")</f>
      </c>
      <c r="U38" s="100">
        <f>+B37</f>
        <v>40420</v>
      </c>
    </row>
    <row r="39" spans="1:21" ht="14.25" customHeight="1">
      <c r="A39" s="282"/>
      <c r="B39" s="331"/>
      <c r="C39" s="332"/>
      <c r="D39" s="293">
        <v>2</v>
      </c>
      <c r="E39" s="294">
        <v>0.513888888888889</v>
      </c>
      <c r="F39" s="295"/>
      <c r="G39" s="296">
        <f>IF(F39&lt;&gt;"",VLOOKUP($F39,'参加チーム'!$B$5:$F$73,IF($M$2=1,3,4),FALSE),"")</f>
      </c>
      <c r="H39" s="297">
        <f>IF(I39&lt;&gt;"",I39+I40,"")</f>
      </c>
      <c r="I39" s="289"/>
      <c r="J39" s="298" t="s">
        <v>80</v>
      </c>
      <c r="K39" s="289"/>
      <c r="L39" s="297">
        <f>IF(K39&lt;&gt;"",K39+K40,"")</f>
      </c>
      <c r="M39" s="295"/>
      <c r="N39" s="296">
        <f>IF(M39&lt;&gt;"",VLOOKUP(M39,'参加チーム'!$B$5:$F$73,IF($M$2=1,3,4),FALSE),"")</f>
      </c>
      <c r="O39" s="299">
        <f>+N39</f>
      </c>
      <c r="P39" s="292"/>
      <c r="R39" s="99" t="str">
        <f>+"中"&amp;F39&amp;M39</f>
        <v>中</v>
      </c>
      <c r="S39" s="90">
        <f>IF(H39&lt;&gt;"",H39,"")</f>
      </c>
      <c r="T39" s="90">
        <f>IF(L39&lt;&gt;"",L39,"")</f>
      </c>
      <c r="U39" s="100">
        <f>+B37</f>
        <v>40420</v>
      </c>
    </row>
    <row r="40" spans="1:21" ht="14.25" customHeight="1">
      <c r="A40" s="282"/>
      <c r="B40" s="331"/>
      <c r="C40" s="355" t="s">
        <v>157</v>
      </c>
      <c r="D40" s="285"/>
      <c r="E40" s="286"/>
      <c r="F40" s="287">
        <f>IF(F39&lt;&gt;"",LEFT(VLOOKUP(F39,'参加チーム'!$B$5:$F$73,5,FALSE),2),"")</f>
      </c>
      <c r="G40" s="288"/>
      <c r="H40" s="286"/>
      <c r="I40" s="289"/>
      <c r="J40" s="290"/>
      <c r="K40" s="289"/>
      <c r="L40" s="286"/>
      <c r="M40" s="287">
        <f>IF(M39&lt;&gt;"",LEFT(VLOOKUP(M39,'参加チーム'!$B$5:$F$73,5,FALSE),2),"")</f>
      </c>
      <c r="N40" s="288"/>
      <c r="O40" s="291"/>
      <c r="P40" s="292"/>
      <c r="R40" s="99" t="str">
        <f>+"中"&amp;M39&amp;F39</f>
        <v>中</v>
      </c>
      <c r="S40" s="90">
        <f>IF(L39&lt;&gt;"",L39,"")</f>
      </c>
      <c r="T40" s="90">
        <f>IF(H39&lt;&gt;"",H39,"")</f>
      </c>
      <c r="U40" s="100">
        <f>+B37</f>
        <v>40420</v>
      </c>
    </row>
    <row r="41" spans="1:21" ht="14.25">
      <c r="A41" s="282"/>
      <c r="B41" s="331"/>
      <c r="C41" s="355"/>
      <c r="D41" s="293">
        <v>3</v>
      </c>
      <c r="E41" s="294">
        <v>0.5902777777777778</v>
      </c>
      <c r="F41" s="295"/>
      <c r="G41" s="296">
        <f>IF(F41&lt;&gt;"",VLOOKUP($F41,'参加チーム'!$B$5:$F$73,IF($M$2=1,3,4),FALSE),"")</f>
      </c>
      <c r="H41" s="297">
        <f>IF(I41&lt;&gt;"",I41+I42,"")</f>
      </c>
      <c r="I41" s="289"/>
      <c r="J41" s="298" t="s">
        <v>80</v>
      </c>
      <c r="K41" s="289"/>
      <c r="L41" s="297">
        <f>IF(K41&lt;&gt;"",K41+K42,"")</f>
      </c>
      <c r="M41" s="295"/>
      <c r="N41" s="296">
        <f>IF(M41&lt;&gt;"",VLOOKUP(M41,'参加チーム'!$B$5:$F$73,IF($M$2=1,3,4),FALSE),"")</f>
      </c>
      <c r="O41" s="299"/>
      <c r="P41" s="292"/>
      <c r="R41" s="99" t="str">
        <f>+"中"&amp;F41&amp;M41</f>
        <v>中</v>
      </c>
      <c r="S41" s="90">
        <f>IF(H41&lt;&gt;"",H41,"")</f>
      </c>
      <c r="T41" s="90">
        <f>IF(L41&lt;&gt;"",L41,"")</f>
      </c>
      <c r="U41" s="100">
        <f>+B37</f>
        <v>40420</v>
      </c>
    </row>
    <row r="42" spans="1:21" ht="15" thickBot="1">
      <c r="A42" s="303"/>
      <c r="B42" s="336"/>
      <c r="C42" s="356"/>
      <c r="D42" s="306"/>
      <c r="E42" s="307"/>
      <c r="F42" s="308"/>
      <c r="G42" s="309"/>
      <c r="H42" s="307"/>
      <c r="I42" s="310"/>
      <c r="J42" s="311"/>
      <c r="K42" s="310"/>
      <c r="L42" s="307"/>
      <c r="M42" s="308"/>
      <c r="N42" s="309"/>
      <c r="O42" s="312"/>
      <c r="P42" s="313"/>
      <c r="R42" s="102" t="str">
        <f>+"中"&amp;M41&amp;F41</f>
        <v>中</v>
      </c>
      <c r="S42" s="103">
        <f>IF(L41&lt;&gt;"",L41,"")</f>
      </c>
      <c r="T42" s="103">
        <f>IF(H41&lt;&gt;"",H41,"")</f>
      </c>
      <c r="U42" s="104">
        <f>+B37</f>
        <v>40420</v>
      </c>
    </row>
    <row r="43" spans="1:21" ht="14.25" customHeight="1">
      <c r="A43" s="270">
        <v>7</v>
      </c>
      <c r="B43" s="328">
        <v>40427</v>
      </c>
      <c r="C43" s="329" t="s">
        <v>49</v>
      </c>
      <c r="D43" s="273">
        <v>1</v>
      </c>
      <c r="E43" s="274">
        <v>0.4375</v>
      </c>
      <c r="F43" s="275"/>
      <c r="G43" s="276">
        <f>IF(F43&lt;&gt;"",VLOOKUP($F43,'参加チーム'!$B$5:$F$73,IF($M$2=1,3,4),FALSE),"")</f>
      </c>
      <c r="H43" s="277">
        <f>IF(I43&lt;&gt;"",I43+I44,"")</f>
      </c>
      <c r="I43" s="278"/>
      <c r="J43" s="279" t="s">
        <v>80</v>
      </c>
      <c r="K43" s="278"/>
      <c r="L43" s="277">
        <f>IF(K43&lt;&gt;"",K43+K44,"")</f>
      </c>
      <c r="M43" s="275"/>
      <c r="N43" s="276">
        <f>IF(M43&lt;&gt;"",VLOOKUP(M43,'参加チーム'!$B$5:$F$73,IF($M$2=1,3,4),FALSE),"")</f>
      </c>
      <c r="O43" s="280">
        <f>+N43</f>
      </c>
      <c r="P43" s="281">
        <f>+G45</f>
      </c>
      <c r="R43" s="96" t="str">
        <f>+"後"&amp;F43&amp;M43</f>
        <v>後</v>
      </c>
      <c r="S43" s="97">
        <f>IF(H43&lt;&gt;"",H43,"")</f>
      </c>
      <c r="T43" s="97">
        <f>IF(L43&lt;&gt;"",L43,"")</f>
      </c>
      <c r="U43" s="98">
        <f>+B43</f>
        <v>40427</v>
      </c>
    </row>
    <row r="44" spans="1:21" ht="14.25" customHeight="1">
      <c r="A44" s="282"/>
      <c r="B44" s="331"/>
      <c r="C44" s="332"/>
      <c r="D44" s="285"/>
      <c r="E44" s="286"/>
      <c r="F44" s="287">
        <f>IF(F43&lt;&gt;"",LEFT(VLOOKUP(F43,'参加チーム'!$B$5:$F$73,5,FALSE),2),"")</f>
      </c>
      <c r="G44" s="288"/>
      <c r="H44" s="286"/>
      <c r="I44" s="289"/>
      <c r="J44" s="290"/>
      <c r="K44" s="289"/>
      <c r="L44" s="286"/>
      <c r="M44" s="287">
        <f>IF(M43&lt;&gt;"",LEFT(VLOOKUP(M43,'参加チーム'!$B$5:$F$73,5,FALSE),2),"")</f>
      </c>
      <c r="N44" s="288"/>
      <c r="O44" s="291"/>
      <c r="P44" s="292"/>
      <c r="R44" s="99" t="str">
        <f>+"後"&amp;M43&amp;F43</f>
        <v>後</v>
      </c>
      <c r="S44" s="90">
        <f>IF(L43&lt;&gt;"",L43,"")</f>
      </c>
      <c r="T44" s="90">
        <f>IF(H43&lt;&gt;"",H43,"")</f>
      </c>
      <c r="U44" s="100">
        <f>+B43</f>
        <v>40427</v>
      </c>
    </row>
    <row r="45" spans="1:21" ht="14.25" customHeight="1">
      <c r="A45" s="282"/>
      <c r="B45" s="331"/>
      <c r="C45" s="332"/>
      <c r="D45" s="293">
        <v>2</v>
      </c>
      <c r="E45" s="294">
        <v>0.513888888888889</v>
      </c>
      <c r="F45" s="295"/>
      <c r="G45" s="296">
        <f>IF(F45&lt;&gt;"",VLOOKUP($F45,'参加チーム'!$B$5:$F$73,IF($M$2=1,3,4),FALSE),"")</f>
      </c>
      <c r="H45" s="297">
        <f>IF(I45&lt;&gt;"",I45+I46,"")</f>
      </c>
      <c r="I45" s="289"/>
      <c r="J45" s="298" t="s">
        <v>80</v>
      </c>
      <c r="K45" s="289"/>
      <c r="L45" s="297">
        <f>IF(K45&lt;&gt;"",K45+K46,"")</f>
      </c>
      <c r="M45" s="295"/>
      <c r="N45" s="296">
        <f>IF(M45&lt;&gt;"",VLOOKUP(M45,'参加チーム'!$B$5:$F$73,IF($M$2=1,3,4),FALSE),"")</f>
      </c>
      <c r="O45" s="299">
        <f>+N45</f>
      </c>
      <c r="P45" s="292"/>
      <c r="R45" s="99" t="str">
        <f>+"後"&amp;F45&amp;M45</f>
        <v>後</v>
      </c>
      <c r="S45" s="90">
        <f>IF(H45&lt;&gt;"",H45,"")</f>
      </c>
      <c r="T45" s="90">
        <f>IF(L45&lt;&gt;"",L45,"")</f>
      </c>
      <c r="U45" s="100">
        <f>+B43</f>
        <v>40427</v>
      </c>
    </row>
    <row r="46" spans="1:21" ht="14.25" customHeight="1">
      <c r="A46" s="282"/>
      <c r="B46" s="331"/>
      <c r="C46" s="355" t="s">
        <v>160</v>
      </c>
      <c r="D46" s="285"/>
      <c r="E46" s="286"/>
      <c r="F46" s="287">
        <f>IF(F45&lt;&gt;"",LEFT(VLOOKUP(F45,'参加チーム'!$B$5:$F$73,5,FALSE),2),"")</f>
      </c>
      <c r="G46" s="288"/>
      <c r="H46" s="286"/>
      <c r="I46" s="289"/>
      <c r="J46" s="290"/>
      <c r="K46" s="289"/>
      <c r="L46" s="286"/>
      <c r="M46" s="287">
        <f>IF(M45&lt;&gt;"",LEFT(VLOOKUP(M45,'参加チーム'!$B$5:$F$73,5,FALSE),2),"")</f>
      </c>
      <c r="N46" s="288"/>
      <c r="O46" s="291"/>
      <c r="P46" s="292"/>
      <c r="R46" s="99" t="str">
        <f>+"後"&amp;M45&amp;F45</f>
        <v>後</v>
      </c>
      <c r="S46" s="90">
        <f>IF(L45&lt;&gt;"",L45,"")</f>
      </c>
      <c r="T46" s="90">
        <f>IF(H45&lt;&gt;"",H45,"")</f>
      </c>
      <c r="U46" s="100">
        <f>+B43</f>
        <v>40427</v>
      </c>
    </row>
    <row r="47" spans="1:21" ht="14.25" customHeight="1">
      <c r="A47" s="282"/>
      <c r="B47" s="331"/>
      <c r="C47" s="355"/>
      <c r="D47" s="293">
        <v>3</v>
      </c>
      <c r="E47" s="294">
        <v>0.5902777777777778</v>
      </c>
      <c r="F47" s="295"/>
      <c r="G47" s="296">
        <f>IF(F47&lt;&gt;"",VLOOKUP($F47,'参加チーム'!$B$5:$F$73,IF($M$2=1,3,4),FALSE),"")</f>
      </c>
      <c r="H47" s="297">
        <f>IF(I47&lt;&gt;"",I47+I48,"")</f>
      </c>
      <c r="I47" s="289"/>
      <c r="J47" s="298" t="s">
        <v>80</v>
      </c>
      <c r="K47" s="289"/>
      <c r="L47" s="297">
        <f>IF(K47&lt;&gt;"",K47+K48,"")</f>
      </c>
      <c r="M47" s="295"/>
      <c r="N47" s="296">
        <f>IF(M47&lt;&gt;"",VLOOKUP(M47,'参加チーム'!$B$5:$F$73,IF($M$2=1,3,4),FALSE),"")</f>
      </c>
      <c r="O47" s="299"/>
      <c r="P47" s="292"/>
      <c r="R47" s="99" t="str">
        <f>+"後"&amp;F47&amp;M47</f>
        <v>後</v>
      </c>
      <c r="S47" s="90">
        <f>IF(H47&lt;&gt;"",H47,"")</f>
      </c>
      <c r="T47" s="90">
        <f>IF(L47&lt;&gt;"",L47,"")</f>
      </c>
      <c r="U47" s="100">
        <f>+B43</f>
        <v>40427</v>
      </c>
    </row>
    <row r="48" spans="1:21" ht="15" customHeight="1" thickBot="1">
      <c r="A48" s="303"/>
      <c r="B48" s="336"/>
      <c r="C48" s="356"/>
      <c r="D48" s="306"/>
      <c r="E48" s="307"/>
      <c r="F48" s="308"/>
      <c r="G48" s="309"/>
      <c r="H48" s="307"/>
      <c r="I48" s="310"/>
      <c r="J48" s="311"/>
      <c r="K48" s="310"/>
      <c r="L48" s="307"/>
      <c r="M48" s="308"/>
      <c r="N48" s="309"/>
      <c r="O48" s="312"/>
      <c r="P48" s="313"/>
      <c r="R48" s="102" t="str">
        <f>+"後"&amp;M47&amp;F47</f>
        <v>後</v>
      </c>
      <c r="S48" s="103">
        <f>IF(L47&lt;&gt;"",L47,"")</f>
      </c>
      <c r="T48" s="103">
        <f>IF(H47&lt;&gt;"",H47,"")</f>
      </c>
      <c r="U48" s="104">
        <f>+B43</f>
        <v>40427</v>
      </c>
    </row>
    <row r="49" spans="1:21" ht="14.25" customHeight="1">
      <c r="A49" s="270">
        <v>8</v>
      </c>
      <c r="B49" s="328">
        <v>40455</v>
      </c>
      <c r="C49" s="329" t="s">
        <v>49</v>
      </c>
      <c r="D49" s="273">
        <v>1</v>
      </c>
      <c r="E49" s="274">
        <v>0.4375</v>
      </c>
      <c r="F49" s="275"/>
      <c r="G49" s="276">
        <f>IF(F49&lt;&gt;"",VLOOKUP($F49,'参加チーム'!$B$5:$F$73,IF($M$2=1,3,4),FALSE),"")</f>
      </c>
      <c r="H49" s="277">
        <f>IF(I49&lt;&gt;"",I49+I50,"")</f>
      </c>
      <c r="I49" s="278"/>
      <c r="J49" s="279" t="s">
        <v>80</v>
      </c>
      <c r="K49" s="278"/>
      <c r="L49" s="277">
        <f>IF(K49&lt;&gt;"",K49+K50,"")</f>
      </c>
      <c r="M49" s="275"/>
      <c r="N49" s="276">
        <f>IF(M49&lt;&gt;"",VLOOKUP(M49,'参加チーム'!$B$5:$F$73,IF($M$2=1,3,4),FALSE),"")</f>
      </c>
      <c r="O49" s="280">
        <f>+N49</f>
      </c>
      <c r="P49" s="281">
        <f>+G49</f>
      </c>
      <c r="R49" s="96" t="str">
        <f>+"後"&amp;F49&amp;M49</f>
        <v>後</v>
      </c>
      <c r="S49" s="97">
        <f>IF(H49&lt;&gt;"",H49,"")</f>
      </c>
      <c r="T49" s="97">
        <f>IF(L49&lt;&gt;"",L49,"")</f>
      </c>
      <c r="U49" s="98">
        <f>+B49</f>
        <v>40455</v>
      </c>
    </row>
    <row r="50" spans="1:21" ht="14.25" customHeight="1">
      <c r="A50" s="282"/>
      <c r="B50" s="331"/>
      <c r="C50" s="332"/>
      <c r="D50" s="285"/>
      <c r="E50" s="286"/>
      <c r="F50" s="287">
        <f>IF(F49&lt;&gt;"",LEFT(VLOOKUP(F49,'参加チーム'!$B$5:$F$73,5,FALSE),2),"")</f>
      </c>
      <c r="G50" s="288"/>
      <c r="H50" s="286"/>
      <c r="I50" s="289"/>
      <c r="J50" s="290"/>
      <c r="K50" s="289"/>
      <c r="L50" s="286"/>
      <c r="M50" s="287">
        <f>IF(M49&lt;&gt;"",LEFT(VLOOKUP(M49,'参加チーム'!$B$5:$F$73,5,FALSE),2),"")</f>
      </c>
      <c r="N50" s="288"/>
      <c r="O50" s="291"/>
      <c r="P50" s="292"/>
      <c r="R50" s="99" t="str">
        <f>+"後"&amp;M49&amp;F49</f>
        <v>後</v>
      </c>
      <c r="S50" s="90">
        <f>IF(L49&lt;&gt;"",L49,"")</f>
      </c>
      <c r="T50" s="90">
        <f>IF(H49&lt;&gt;"",H49,"")</f>
      </c>
      <c r="U50" s="100">
        <f>+B49</f>
        <v>40455</v>
      </c>
    </row>
    <row r="51" spans="1:21" ht="14.25" customHeight="1">
      <c r="A51" s="282"/>
      <c r="B51" s="331"/>
      <c r="C51" s="332"/>
      <c r="D51" s="293">
        <v>2</v>
      </c>
      <c r="E51" s="294">
        <v>0.513888888888889</v>
      </c>
      <c r="F51" s="295"/>
      <c r="G51" s="296">
        <f>IF(F51&lt;&gt;"",VLOOKUP($F51,'参加チーム'!$B$5:$F$73,IF($M$2=1,3,4),FALSE),"")</f>
      </c>
      <c r="H51" s="297">
        <f>IF(I51&lt;&gt;"",I51+I52,"")</f>
      </c>
      <c r="I51" s="289"/>
      <c r="J51" s="298" t="s">
        <v>80</v>
      </c>
      <c r="K51" s="289"/>
      <c r="L51" s="297">
        <f>IF(K51&lt;&gt;"",K51+K52,"")</f>
      </c>
      <c r="M51" s="295"/>
      <c r="N51" s="296">
        <f>IF(M51&lt;&gt;"",VLOOKUP(M51,'参加チーム'!$B$5:$F$73,IF($M$2=1,3,4),FALSE),"")</f>
      </c>
      <c r="O51" s="299">
        <f>+N51</f>
      </c>
      <c r="P51" s="292"/>
      <c r="R51" s="99" t="str">
        <f>+"後"&amp;F51&amp;M51</f>
        <v>後</v>
      </c>
      <c r="S51" s="90">
        <f>IF(H51&lt;&gt;"",H51,"")</f>
      </c>
      <c r="T51" s="90">
        <f>IF(L51&lt;&gt;"",L51,"")</f>
      </c>
      <c r="U51" s="100">
        <f>+B49</f>
        <v>40455</v>
      </c>
    </row>
    <row r="52" spans="1:21" ht="14.25" customHeight="1">
      <c r="A52" s="282"/>
      <c r="B52" s="331"/>
      <c r="C52" s="355" t="s">
        <v>251</v>
      </c>
      <c r="D52" s="285"/>
      <c r="E52" s="286"/>
      <c r="F52" s="287">
        <f>IF(F51&lt;&gt;"",LEFT(VLOOKUP(F51,'参加チーム'!$B$5:$F$73,5,FALSE),2),"")</f>
      </c>
      <c r="G52" s="288"/>
      <c r="H52" s="286"/>
      <c r="I52" s="289"/>
      <c r="J52" s="290"/>
      <c r="K52" s="289"/>
      <c r="L52" s="286"/>
      <c r="M52" s="287">
        <f>IF(M51&lt;&gt;"",LEFT(VLOOKUP(M51,'参加チーム'!$B$5:$F$73,5,FALSE),2),"")</f>
      </c>
      <c r="N52" s="288"/>
      <c r="O52" s="291"/>
      <c r="P52" s="292"/>
      <c r="R52" s="99" t="str">
        <f>+"後"&amp;M51&amp;F51</f>
        <v>後</v>
      </c>
      <c r="S52" s="90">
        <f>IF(L51&lt;&gt;"",L51,"")</f>
      </c>
      <c r="T52" s="90">
        <f>IF(H51&lt;&gt;"",H51,"")</f>
      </c>
      <c r="U52" s="100">
        <f>+B49</f>
        <v>40455</v>
      </c>
    </row>
    <row r="53" spans="1:21" ht="14.25" customHeight="1">
      <c r="A53" s="282"/>
      <c r="B53" s="331"/>
      <c r="C53" s="355"/>
      <c r="D53" s="293">
        <v>3</v>
      </c>
      <c r="E53" s="294">
        <v>0.5902777777777778</v>
      </c>
      <c r="F53" s="295"/>
      <c r="G53" s="296">
        <f>IF(F53&lt;&gt;"",VLOOKUP($F53,'参加チーム'!$B$5:$F$73,IF($M$2=1,3,4),FALSE),"")</f>
      </c>
      <c r="H53" s="297">
        <f>IF(I53&lt;&gt;"",I53+I54,"")</f>
      </c>
      <c r="I53" s="289"/>
      <c r="J53" s="298" t="s">
        <v>80</v>
      </c>
      <c r="K53" s="289"/>
      <c r="L53" s="297">
        <f>IF(K53&lt;&gt;"",K53+K54,"")</f>
      </c>
      <c r="M53" s="295"/>
      <c r="N53" s="296">
        <f>IF(M53&lt;&gt;"",VLOOKUP(M53,'参加チーム'!$B$5:$F$73,IF($M$2=1,3,4),FALSE),"")</f>
      </c>
      <c r="O53" s="299"/>
      <c r="P53" s="292"/>
      <c r="R53" s="99" t="str">
        <f>+"後"&amp;F53&amp;M53</f>
        <v>後</v>
      </c>
      <c r="S53" s="90">
        <f>IF(H53&lt;&gt;"",H53,"")</f>
      </c>
      <c r="T53" s="90">
        <f>IF(L53&lt;&gt;"",L53,"")</f>
      </c>
      <c r="U53" s="100">
        <f>+B49</f>
        <v>40455</v>
      </c>
    </row>
    <row r="54" spans="1:21" ht="15" customHeight="1" thickBot="1">
      <c r="A54" s="303"/>
      <c r="B54" s="336"/>
      <c r="C54" s="356"/>
      <c r="D54" s="306"/>
      <c r="E54" s="307"/>
      <c r="F54" s="308"/>
      <c r="G54" s="309"/>
      <c r="H54" s="307"/>
      <c r="I54" s="310"/>
      <c r="J54" s="311"/>
      <c r="K54" s="310"/>
      <c r="L54" s="307"/>
      <c r="M54" s="308"/>
      <c r="N54" s="309"/>
      <c r="O54" s="312"/>
      <c r="P54" s="313"/>
      <c r="R54" s="102" t="str">
        <f>+"後"&amp;M53&amp;F53</f>
        <v>後</v>
      </c>
      <c r="S54" s="103">
        <f>IF(L53&lt;&gt;"",L53,"")</f>
      </c>
      <c r="T54" s="103">
        <f>IF(H53&lt;&gt;"",H53,"")</f>
      </c>
      <c r="U54" s="104">
        <f>+B49</f>
        <v>40455</v>
      </c>
    </row>
    <row r="55" spans="1:21" ht="14.25" customHeight="1">
      <c r="A55" s="270">
        <v>9</v>
      </c>
      <c r="B55" s="328">
        <v>40463</v>
      </c>
      <c r="C55" s="329" t="s">
        <v>50</v>
      </c>
      <c r="D55" s="273">
        <v>1</v>
      </c>
      <c r="E55" s="274">
        <v>0.4375</v>
      </c>
      <c r="F55" s="275"/>
      <c r="G55" s="276">
        <f>IF(F55&lt;&gt;"",VLOOKUP($F55,'参加チーム'!$B$5:$F$73,IF($M$2=1,3,4),FALSE),"")</f>
      </c>
      <c r="H55" s="277">
        <f>IF(I55&lt;&gt;"",I55+I56,"")</f>
      </c>
      <c r="I55" s="278"/>
      <c r="J55" s="279" t="s">
        <v>80</v>
      </c>
      <c r="K55" s="278"/>
      <c r="L55" s="277">
        <f>IF(K55&lt;&gt;"",K55+K56,"")</f>
      </c>
      <c r="M55" s="275"/>
      <c r="N55" s="276">
        <f>IF(M55&lt;&gt;"",VLOOKUP(M55,'参加チーム'!$B$5:$F$73,IF($M$2=1,3,4),FALSE),"")</f>
      </c>
      <c r="O55" s="280">
        <f>+N55</f>
      </c>
      <c r="P55" s="281">
        <f>+N55</f>
      </c>
      <c r="R55" s="96" t="str">
        <f>+"後"&amp;F55&amp;M55</f>
        <v>後</v>
      </c>
      <c r="S55" s="97">
        <f>IF(H55&lt;&gt;"",H55,"")</f>
      </c>
      <c r="T55" s="97">
        <f>IF(L55&lt;&gt;"",L55,"")</f>
      </c>
      <c r="U55" s="98">
        <f>+B55</f>
        <v>40463</v>
      </c>
    </row>
    <row r="56" spans="1:21" ht="14.25" customHeight="1">
      <c r="A56" s="282"/>
      <c r="B56" s="331"/>
      <c r="C56" s="332"/>
      <c r="D56" s="285"/>
      <c r="E56" s="286"/>
      <c r="F56" s="287">
        <f>IF(F55&lt;&gt;"",LEFT(VLOOKUP(F55,'参加チーム'!$B$5:$F$73,5,FALSE),2),"")</f>
      </c>
      <c r="G56" s="288"/>
      <c r="H56" s="286"/>
      <c r="I56" s="289"/>
      <c r="J56" s="290"/>
      <c r="K56" s="289"/>
      <c r="L56" s="286"/>
      <c r="M56" s="287">
        <f>IF(M55&lt;&gt;"",LEFT(VLOOKUP(M55,'参加チーム'!$B$5:$F$73,5,FALSE),2),"")</f>
      </c>
      <c r="N56" s="288"/>
      <c r="O56" s="291"/>
      <c r="P56" s="292"/>
      <c r="R56" s="99" t="str">
        <f>+"後"&amp;M55&amp;F55</f>
        <v>後</v>
      </c>
      <c r="S56" s="90">
        <f>IF(L55&lt;&gt;"",L55,"")</f>
      </c>
      <c r="T56" s="90">
        <f>IF(H55&lt;&gt;"",H55,"")</f>
      </c>
      <c r="U56" s="100">
        <f>+B55</f>
        <v>40463</v>
      </c>
    </row>
    <row r="57" spans="1:21" ht="14.25" customHeight="1">
      <c r="A57" s="282"/>
      <c r="B57" s="331"/>
      <c r="C57" s="332"/>
      <c r="D57" s="293">
        <v>2</v>
      </c>
      <c r="E57" s="294">
        <v>0.513888888888889</v>
      </c>
      <c r="F57" s="295"/>
      <c r="G57" s="296">
        <f>IF(F57&lt;&gt;"",VLOOKUP($F57,'参加チーム'!$B$5:$F$73,IF($M$2=1,3,4),FALSE),"")</f>
      </c>
      <c r="H57" s="297">
        <f>IF(I57&lt;&gt;"",I57+I58,"")</f>
      </c>
      <c r="I57" s="289"/>
      <c r="J57" s="298" t="s">
        <v>80</v>
      </c>
      <c r="K57" s="289"/>
      <c r="L57" s="297">
        <f>IF(K57&lt;&gt;"",K57+K58,"")</f>
      </c>
      <c r="M57" s="295"/>
      <c r="N57" s="296">
        <f>IF(M57&lt;&gt;"",VLOOKUP(M57,'参加チーム'!$B$5:$F$73,IF($M$2=1,3,4),FALSE),"")</f>
      </c>
      <c r="O57" s="299">
        <f>+N57</f>
      </c>
      <c r="P57" s="292"/>
      <c r="R57" s="99" t="str">
        <f>+"後"&amp;F57&amp;M57</f>
        <v>後</v>
      </c>
      <c r="S57" s="90">
        <f>IF(H57&lt;&gt;"",H57,"")</f>
      </c>
      <c r="T57" s="90">
        <f>IF(L57&lt;&gt;"",L57,"")</f>
      </c>
      <c r="U57" s="100">
        <f>+B55</f>
        <v>40463</v>
      </c>
    </row>
    <row r="58" spans="1:21" ht="14.25" customHeight="1">
      <c r="A58" s="282"/>
      <c r="B58" s="331"/>
      <c r="C58" s="355" t="s">
        <v>35</v>
      </c>
      <c r="D58" s="285"/>
      <c r="E58" s="286"/>
      <c r="F58" s="287">
        <f>IF(F57&lt;&gt;"",LEFT(VLOOKUP(F57,'参加チーム'!$B$5:$F$73,5,FALSE),2),"")</f>
      </c>
      <c r="G58" s="288"/>
      <c r="H58" s="286"/>
      <c r="I58" s="289"/>
      <c r="J58" s="290"/>
      <c r="K58" s="289"/>
      <c r="L58" s="286"/>
      <c r="M58" s="287">
        <f>IF(M57&lt;&gt;"",LEFT(VLOOKUP(M57,'参加チーム'!$B$5:$F$73,5,FALSE),2),"")</f>
      </c>
      <c r="N58" s="288"/>
      <c r="O58" s="291"/>
      <c r="P58" s="292"/>
      <c r="R58" s="99" t="str">
        <f>+"後"&amp;M57&amp;F57</f>
        <v>後</v>
      </c>
      <c r="S58" s="90">
        <f>IF(L57&lt;&gt;"",L57,"")</f>
      </c>
      <c r="T58" s="90">
        <f>IF(H57&lt;&gt;"",H57,"")</f>
      </c>
      <c r="U58" s="100">
        <f>+B55</f>
        <v>40463</v>
      </c>
    </row>
    <row r="59" spans="1:21" ht="14.25">
      <c r="A59" s="282"/>
      <c r="B59" s="331"/>
      <c r="C59" s="355"/>
      <c r="D59" s="293">
        <v>3</v>
      </c>
      <c r="E59" s="294">
        <v>0.5902777777777778</v>
      </c>
      <c r="F59" s="295"/>
      <c r="G59" s="296">
        <f>IF(F59&lt;&gt;"",VLOOKUP($F59,'参加チーム'!$B$5:$F$73,IF($M$2=1,3,4),FALSE),"")</f>
      </c>
      <c r="H59" s="297">
        <f>IF(I59&lt;&gt;"",I59+I60,"")</f>
      </c>
      <c r="I59" s="289"/>
      <c r="J59" s="298" t="s">
        <v>80</v>
      </c>
      <c r="K59" s="289"/>
      <c r="L59" s="297">
        <f>IF(K59&lt;&gt;"",K59+K60,"")</f>
      </c>
      <c r="M59" s="295"/>
      <c r="N59" s="296">
        <f>IF(M59&lt;&gt;"",VLOOKUP(M59,'参加チーム'!$B$5:$F$73,IF($M$2=1,3,4),FALSE),"")</f>
      </c>
      <c r="O59" s="299"/>
      <c r="P59" s="292"/>
      <c r="R59" s="99" t="str">
        <f>+"後"&amp;F59&amp;M59</f>
        <v>後</v>
      </c>
      <c r="S59" s="90">
        <f>IF(H59&lt;&gt;"",H59,"")</f>
      </c>
      <c r="T59" s="90">
        <f>IF(L59&lt;&gt;"",L59,"")</f>
      </c>
      <c r="U59" s="100">
        <f>+B55</f>
        <v>40463</v>
      </c>
    </row>
    <row r="60" spans="1:21" ht="15" thickBot="1">
      <c r="A60" s="303"/>
      <c r="B60" s="336"/>
      <c r="C60" s="356"/>
      <c r="D60" s="306"/>
      <c r="E60" s="307"/>
      <c r="F60" s="308"/>
      <c r="G60" s="309"/>
      <c r="H60" s="307"/>
      <c r="I60" s="310"/>
      <c r="J60" s="311"/>
      <c r="K60" s="310"/>
      <c r="L60" s="307"/>
      <c r="M60" s="308"/>
      <c r="N60" s="309"/>
      <c r="O60" s="312"/>
      <c r="P60" s="313"/>
      <c r="R60" s="102" t="str">
        <f>+"後"&amp;M59&amp;F59</f>
        <v>後</v>
      </c>
      <c r="S60" s="103">
        <f>IF(L59&lt;&gt;"",L59,"")</f>
      </c>
      <c r="T60" s="103">
        <f>IF(H59&lt;&gt;"",H59,"")</f>
      </c>
      <c r="U60" s="104">
        <f>+B55</f>
        <v>40463</v>
      </c>
    </row>
    <row r="61" spans="1:21" ht="14.25">
      <c r="A61" s="270">
        <v>10</v>
      </c>
      <c r="B61" s="328">
        <v>40476</v>
      </c>
      <c r="C61" s="357" t="s">
        <v>50</v>
      </c>
      <c r="D61" s="273">
        <v>1</v>
      </c>
      <c r="E61" s="274">
        <v>0.4375</v>
      </c>
      <c r="F61" s="275"/>
      <c r="G61" s="276">
        <f>IF(F61&lt;&gt;"",VLOOKUP($F61,'参加チーム'!$B$5:$F$73,IF($M$2=1,3,4),FALSE),"")</f>
      </c>
      <c r="H61" s="277">
        <f>IF(I61&lt;&gt;"",I61+I62,"")</f>
      </c>
      <c r="I61" s="278"/>
      <c r="J61" s="279" t="s">
        <v>80</v>
      </c>
      <c r="K61" s="278"/>
      <c r="L61" s="277">
        <f>IF(K61&lt;&gt;"",K61+K62,"")</f>
      </c>
      <c r="M61" s="275"/>
      <c r="N61" s="276">
        <f>IF(M61&lt;&gt;"",VLOOKUP(M61,'参加チーム'!$B$5:$F$73,IF($M$2=1,3,4),FALSE),"")</f>
      </c>
      <c r="O61" s="280">
        <f>+N61</f>
      </c>
      <c r="P61" s="281">
        <f>+G61</f>
      </c>
      <c r="R61" s="96" t="str">
        <f>+"後"&amp;F61&amp;M61</f>
        <v>後</v>
      </c>
      <c r="S61" s="97">
        <f>IF(H61&lt;&gt;"",H61,"")</f>
      </c>
      <c r="T61" s="97">
        <f>IF(L61&lt;&gt;"",L61,"")</f>
      </c>
      <c r="U61" s="98">
        <f>+B61</f>
        <v>40476</v>
      </c>
    </row>
    <row r="62" spans="1:21" ht="14.25">
      <c r="A62" s="282"/>
      <c r="B62" s="331"/>
      <c r="C62" s="358"/>
      <c r="D62" s="285"/>
      <c r="E62" s="286"/>
      <c r="F62" s="287">
        <f>IF(F61&lt;&gt;"",LEFT(VLOOKUP(F61,'参加チーム'!$B$5:$F$73,5,FALSE),2),"")</f>
      </c>
      <c r="G62" s="288"/>
      <c r="H62" s="286"/>
      <c r="I62" s="289"/>
      <c r="J62" s="290"/>
      <c r="K62" s="289"/>
      <c r="L62" s="286"/>
      <c r="M62" s="287">
        <f>IF(M61&lt;&gt;"",LEFT(VLOOKUP(M61,'参加チーム'!$B$5:$F$73,5,FALSE),2),"")</f>
      </c>
      <c r="N62" s="288"/>
      <c r="O62" s="291"/>
      <c r="P62" s="292"/>
      <c r="R62" s="99" t="str">
        <f>+"後"&amp;M61&amp;F61</f>
        <v>後</v>
      </c>
      <c r="S62" s="90">
        <f>IF(L61&lt;&gt;"",L61,"")</f>
      </c>
      <c r="T62" s="90">
        <f>IF(H61&lt;&gt;"",H61,"")</f>
      </c>
      <c r="U62" s="100">
        <f>+B61</f>
        <v>40476</v>
      </c>
    </row>
    <row r="63" spans="1:21" ht="14.25">
      <c r="A63" s="282"/>
      <c r="B63" s="331"/>
      <c r="C63" s="358"/>
      <c r="D63" s="293">
        <v>2</v>
      </c>
      <c r="E63" s="294">
        <v>0.513888888888889</v>
      </c>
      <c r="F63" s="295"/>
      <c r="G63" s="296">
        <f>IF(F63&lt;&gt;"",VLOOKUP($F63,'参加チーム'!$B$5:$F$73,IF($M$2=1,3,4),FALSE),"")</f>
      </c>
      <c r="H63" s="297">
        <f>IF(I63&lt;&gt;"",I63+I64,"")</f>
      </c>
      <c r="I63" s="289"/>
      <c r="J63" s="298" t="s">
        <v>80</v>
      </c>
      <c r="K63" s="289"/>
      <c r="L63" s="297">
        <f>IF(K63&lt;&gt;"",K63+K64,"")</f>
      </c>
      <c r="M63" s="295"/>
      <c r="N63" s="296">
        <f>IF(M63&lt;&gt;"",VLOOKUP(M63,'参加チーム'!$B$5:$F$73,IF($M$2=1,3,4),FALSE),"")</f>
      </c>
      <c r="O63" s="299">
        <f>+N63</f>
      </c>
      <c r="P63" s="292"/>
      <c r="R63" s="99" t="str">
        <f>+"後"&amp;F63&amp;M63</f>
        <v>後</v>
      </c>
      <c r="S63" s="90">
        <f>IF(H63&lt;&gt;"",H63,"")</f>
      </c>
      <c r="T63" s="90">
        <f>IF(L63&lt;&gt;"",L63,"")</f>
      </c>
      <c r="U63" s="100">
        <f>+B61</f>
        <v>40476</v>
      </c>
    </row>
    <row r="64" spans="1:21" ht="14.25" customHeight="1">
      <c r="A64" s="282"/>
      <c r="B64" s="331"/>
      <c r="C64" s="359" t="s">
        <v>252</v>
      </c>
      <c r="D64" s="285"/>
      <c r="E64" s="286"/>
      <c r="F64" s="287">
        <f>IF(F63&lt;&gt;"",LEFT(VLOOKUP(F63,'参加チーム'!$B$5:$F$73,5,FALSE),2),"")</f>
      </c>
      <c r="G64" s="288"/>
      <c r="H64" s="286"/>
      <c r="I64" s="289"/>
      <c r="J64" s="290"/>
      <c r="K64" s="289"/>
      <c r="L64" s="286"/>
      <c r="M64" s="287">
        <f>IF(M63&lt;&gt;"",LEFT(VLOOKUP(M63,'参加チーム'!$B$5:$F$73,5,FALSE),2),"")</f>
      </c>
      <c r="N64" s="288"/>
      <c r="O64" s="291"/>
      <c r="P64" s="292"/>
      <c r="R64" s="99" t="str">
        <f>+"後"&amp;M63&amp;F63</f>
        <v>後</v>
      </c>
      <c r="S64" s="90">
        <f>IF(L63&lt;&gt;"",L63,"")</f>
      </c>
      <c r="T64" s="90">
        <f>IF(H63&lt;&gt;"",H63,"")</f>
      </c>
      <c r="U64" s="100">
        <f>+B61</f>
        <v>40476</v>
      </c>
    </row>
    <row r="65" spans="1:21" ht="14.25">
      <c r="A65" s="282"/>
      <c r="B65" s="331"/>
      <c r="C65" s="359"/>
      <c r="D65" s="293">
        <v>3</v>
      </c>
      <c r="E65" s="294">
        <v>0.5902777777777778</v>
      </c>
      <c r="F65" s="295"/>
      <c r="G65" s="296">
        <f>IF(F65&lt;&gt;"",VLOOKUP($F65,'参加チーム'!$B$5:$F$73,IF($M$2=1,3,4),FALSE),"")</f>
      </c>
      <c r="H65" s="297">
        <f>IF(I65&lt;&gt;"",I65+I66,"")</f>
      </c>
      <c r="I65" s="289"/>
      <c r="J65" s="298" t="s">
        <v>80</v>
      </c>
      <c r="K65" s="289"/>
      <c r="L65" s="297">
        <f>IF(K65&lt;&gt;"",K65+K66,"")</f>
      </c>
      <c r="M65" s="295"/>
      <c r="N65" s="296">
        <f>IF(M65&lt;&gt;"",VLOOKUP(M65,'参加チーム'!$B$5:$F$73,IF($M$2=1,3,4),FALSE),"")</f>
      </c>
      <c r="O65" s="299"/>
      <c r="P65" s="292"/>
      <c r="R65" s="99" t="str">
        <f>+"後"&amp;F65&amp;M65</f>
        <v>後</v>
      </c>
      <c r="S65" s="90">
        <f>IF(H65&lt;&gt;"",H65,"")</f>
      </c>
      <c r="T65" s="90">
        <f>IF(L65&lt;&gt;"",L65,"")</f>
      </c>
      <c r="U65" s="100">
        <f>+B61</f>
        <v>40476</v>
      </c>
    </row>
    <row r="66" spans="1:21" ht="15" thickBot="1">
      <c r="A66" s="303"/>
      <c r="B66" s="336"/>
      <c r="C66" s="360"/>
      <c r="D66" s="306"/>
      <c r="E66" s="307"/>
      <c r="F66" s="308"/>
      <c r="G66" s="309"/>
      <c r="H66" s="307"/>
      <c r="I66" s="310"/>
      <c r="J66" s="311"/>
      <c r="K66" s="310"/>
      <c r="L66" s="307"/>
      <c r="M66" s="308"/>
      <c r="N66" s="309"/>
      <c r="O66" s="312"/>
      <c r="P66" s="313"/>
      <c r="R66" s="102" t="str">
        <f>+"後"&amp;M65&amp;F65</f>
        <v>後</v>
      </c>
      <c r="S66" s="103">
        <f>IF(L65&lt;&gt;"",L65,"")</f>
      </c>
      <c r="T66" s="103">
        <f>IF(H65&lt;&gt;"",H65,"")</f>
      </c>
      <c r="U66" s="104">
        <f>+B61</f>
        <v>40476</v>
      </c>
    </row>
    <row r="67" spans="1:16" ht="17.25">
      <c r="A67" s="262"/>
      <c r="B67" s="262"/>
      <c r="C67" s="353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</sheetData>
  <sheetProtection/>
  <mergeCells count="292">
    <mergeCell ref="N8:N9"/>
    <mergeCell ref="O8:O9"/>
    <mergeCell ref="H3:L3"/>
    <mergeCell ref="H4:H5"/>
    <mergeCell ref="J4:J5"/>
    <mergeCell ref="L4:L5"/>
    <mergeCell ref="J8:J9"/>
    <mergeCell ref="L8:L9"/>
    <mergeCell ref="N4:N5"/>
    <mergeCell ref="O4:O5"/>
    <mergeCell ref="B4:B9"/>
    <mergeCell ref="G4:G5"/>
    <mergeCell ref="E4:E5"/>
    <mergeCell ref="D4:D5"/>
    <mergeCell ref="D6:D7"/>
    <mergeCell ref="E6:E7"/>
    <mergeCell ref="C4:C6"/>
    <mergeCell ref="C7:C9"/>
    <mergeCell ref="G6:G7"/>
    <mergeCell ref="G8:G9"/>
    <mergeCell ref="A4:A9"/>
    <mergeCell ref="P4:P9"/>
    <mergeCell ref="H6:H7"/>
    <mergeCell ref="J6:J7"/>
    <mergeCell ref="L6:L7"/>
    <mergeCell ref="N6:N7"/>
    <mergeCell ref="O6:O7"/>
    <mergeCell ref="D8:D9"/>
    <mergeCell ref="E8:E9"/>
    <mergeCell ref="H8:H9"/>
    <mergeCell ref="O10:O11"/>
    <mergeCell ref="J10:J11"/>
    <mergeCell ref="G10:G11"/>
    <mergeCell ref="E12:E13"/>
    <mergeCell ref="G12:G13"/>
    <mergeCell ref="L10:L11"/>
    <mergeCell ref="N10:N11"/>
    <mergeCell ref="E10:E11"/>
    <mergeCell ref="A10:A15"/>
    <mergeCell ref="B10:B15"/>
    <mergeCell ref="C10:C12"/>
    <mergeCell ref="D10:D11"/>
    <mergeCell ref="C13:C15"/>
    <mergeCell ref="D14:D15"/>
    <mergeCell ref="D12:D13"/>
    <mergeCell ref="P10:P15"/>
    <mergeCell ref="H12:H13"/>
    <mergeCell ref="J12:J13"/>
    <mergeCell ref="L12:L13"/>
    <mergeCell ref="N12:N13"/>
    <mergeCell ref="O12:O13"/>
    <mergeCell ref="N14:N15"/>
    <mergeCell ref="O14:O15"/>
    <mergeCell ref="H10:H11"/>
    <mergeCell ref="L14:L15"/>
    <mergeCell ref="E14:E15"/>
    <mergeCell ref="G14:G15"/>
    <mergeCell ref="J14:J15"/>
    <mergeCell ref="H14:H15"/>
    <mergeCell ref="E16:E17"/>
    <mergeCell ref="G16:G17"/>
    <mergeCell ref="H16:H17"/>
    <mergeCell ref="J16:J17"/>
    <mergeCell ref="A16:A21"/>
    <mergeCell ref="B16:B21"/>
    <mergeCell ref="C16:C18"/>
    <mergeCell ref="D16:D17"/>
    <mergeCell ref="D18:D19"/>
    <mergeCell ref="C19:C21"/>
    <mergeCell ref="D20:D21"/>
    <mergeCell ref="L16:L17"/>
    <mergeCell ref="N16:N17"/>
    <mergeCell ref="O16:O17"/>
    <mergeCell ref="P16:P21"/>
    <mergeCell ref="L18:L19"/>
    <mergeCell ref="N18:N19"/>
    <mergeCell ref="O18:O19"/>
    <mergeCell ref="L20:L21"/>
    <mergeCell ref="N20:N21"/>
    <mergeCell ref="O20:O21"/>
    <mergeCell ref="H20:H21"/>
    <mergeCell ref="J20:J21"/>
    <mergeCell ref="E18:E19"/>
    <mergeCell ref="G18:G19"/>
    <mergeCell ref="H18:H19"/>
    <mergeCell ref="J18:J19"/>
    <mergeCell ref="E20:E21"/>
    <mergeCell ref="G20:G21"/>
    <mergeCell ref="A22:A27"/>
    <mergeCell ref="B22:B27"/>
    <mergeCell ref="C22:C24"/>
    <mergeCell ref="D22:D23"/>
    <mergeCell ref="D24:D25"/>
    <mergeCell ref="C25:C27"/>
    <mergeCell ref="D26:D27"/>
    <mergeCell ref="P22:P27"/>
    <mergeCell ref="L24:L25"/>
    <mergeCell ref="N24:N25"/>
    <mergeCell ref="O24:O25"/>
    <mergeCell ref="L26:L27"/>
    <mergeCell ref="N26:N27"/>
    <mergeCell ref="O26:O27"/>
    <mergeCell ref="L22:L23"/>
    <mergeCell ref="N22:N23"/>
    <mergeCell ref="O22:O23"/>
    <mergeCell ref="E28:E29"/>
    <mergeCell ref="G28:G29"/>
    <mergeCell ref="H28:H29"/>
    <mergeCell ref="E22:E23"/>
    <mergeCell ref="G22:G23"/>
    <mergeCell ref="H22:H23"/>
    <mergeCell ref="E26:E27"/>
    <mergeCell ref="G26:G27"/>
    <mergeCell ref="H26:H27"/>
    <mergeCell ref="J22:J23"/>
    <mergeCell ref="G24:G25"/>
    <mergeCell ref="H24:H25"/>
    <mergeCell ref="J24:J25"/>
    <mergeCell ref="J26:J27"/>
    <mergeCell ref="E24:E25"/>
    <mergeCell ref="A28:A33"/>
    <mergeCell ref="B28:B33"/>
    <mergeCell ref="C28:C30"/>
    <mergeCell ref="D28:D29"/>
    <mergeCell ref="D30:D31"/>
    <mergeCell ref="C31:C33"/>
    <mergeCell ref="D32:D33"/>
    <mergeCell ref="N28:N29"/>
    <mergeCell ref="O28:O29"/>
    <mergeCell ref="P28:P33"/>
    <mergeCell ref="L30:L31"/>
    <mergeCell ref="N30:N31"/>
    <mergeCell ref="O30:O31"/>
    <mergeCell ref="L32:L33"/>
    <mergeCell ref="N32:N33"/>
    <mergeCell ref="O32:O33"/>
    <mergeCell ref="L28:L29"/>
    <mergeCell ref="E32:E33"/>
    <mergeCell ref="G32:G33"/>
    <mergeCell ref="H32:H33"/>
    <mergeCell ref="J32:J33"/>
    <mergeCell ref="E30:E31"/>
    <mergeCell ref="G30:G31"/>
    <mergeCell ref="H30:H31"/>
    <mergeCell ref="J30:J31"/>
    <mergeCell ref="J28:J29"/>
    <mergeCell ref="H36:L36"/>
    <mergeCell ref="A37:A42"/>
    <mergeCell ref="B37:B42"/>
    <mergeCell ref="C37:C39"/>
    <mergeCell ref="D37:D38"/>
    <mergeCell ref="E37:E38"/>
    <mergeCell ref="G37:G38"/>
    <mergeCell ref="H37:H38"/>
    <mergeCell ref="J37:J38"/>
    <mergeCell ref="L37:L38"/>
    <mergeCell ref="N37:N38"/>
    <mergeCell ref="O37:O38"/>
    <mergeCell ref="P37:P42"/>
    <mergeCell ref="D39:D40"/>
    <mergeCell ref="E39:E40"/>
    <mergeCell ref="G39:G40"/>
    <mergeCell ref="H39:H40"/>
    <mergeCell ref="J39:J40"/>
    <mergeCell ref="L39:L40"/>
    <mergeCell ref="N39:N40"/>
    <mergeCell ref="O39:O40"/>
    <mergeCell ref="C40:C42"/>
    <mergeCell ref="D41:D42"/>
    <mergeCell ref="E41:E42"/>
    <mergeCell ref="G41:G42"/>
    <mergeCell ref="H41:H42"/>
    <mergeCell ref="J41:J42"/>
    <mergeCell ref="L41:L42"/>
    <mergeCell ref="N41:N42"/>
    <mergeCell ref="O41:O42"/>
    <mergeCell ref="A43:A48"/>
    <mergeCell ref="B43:B48"/>
    <mergeCell ref="C43:C45"/>
    <mergeCell ref="D43:D44"/>
    <mergeCell ref="D45:D46"/>
    <mergeCell ref="C46:C48"/>
    <mergeCell ref="D47:D48"/>
    <mergeCell ref="P43:P48"/>
    <mergeCell ref="L45:L46"/>
    <mergeCell ref="N45:N46"/>
    <mergeCell ref="O45:O46"/>
    <mergeCell ref="L47:L48"/>
    <mergeCell ref="N47:N48"/>
    <mergeCell ref="O47:O48"/>
    <mergeCell ref="L43:L44"/>
    <mergeCell ref="N43:N44"/>
    <mergeCell ref="O43:O44"/>
    <mergeCell ref="E49:E50"/>
    <mergeCell ref="G49:G50"/>
    <mergeCell ref="H49:H50"/>
    <mergeCell ref="E43:E44"/>
    <mergeCell ref="G43:G44"/>
    <mergeCell ref="H43:H44"/>
    <mergeCell ref="E47:E48"/>
    <mergeCell ref="G47:G48"/>
    <mergeCell ref="H47:H48"/>
    <mergeCell ref="J43:J44"/>
    <mergeCell ref="G45:G46"/>
    <mergeCell ref="H45:H46"/>
    <mergeCell ref="J45:J46"/>
    <mergeCell ref="J47:J48"/>
    <mergeCell ref="E45:E46"/>
    <mergeCell ref="A49:A54"/>
    <mergeCell ref="B49:B54"/>
    <mergeCell ref="C49:C51"/>
    <mergeCell ref="D49:D50"/>
    <mergeCell ref="D51:D52"/>
    <mergeCell ref="C52:C54"/>
    <mergeCell ref="D53:D54"/>
    <mergeCell ref="N49:N50"/>
    <mergeCell ref="O49:O50"/>
    <mergeCell ref="P49:P54"/>
    <mergeCell ref="L51:L52"/>
    <mergeCell ref="N51:N52"/>
    <mergeCell ref="O51:O52"/>
    <mergeCell ref="L53:L54"/>
    <mergeCell ref="N53:N54"/>
    <mergeCell ref="O53:O54"/>
    <mergeCell ref="L49:L50"/>
    <mergeCell ref="E53:E54"/>
    <mergeCell ref="G53:G54"/>
    <mergeCell ref="H53:H54"/>
    <mergeCell ref="J53:J54"/>
    <mergeCell ref="E51:E52"/>
    <mergeCell ref="G51:G52"/>
    <mergeCell ref="H51:H52"/>
    <mergeCell ref="J51:J52"/>
    <mergeCell ref="J49:J50"/>
    <mergeCell ref="A55:A60"/>
    <mergeCell ref="B55:B60"/>
    <mergeCell ref="C55:C57"/>
    <mergeCell ref="D55:D56"/>
    <mergeCell ref="D57:D58"/>
    <mergeCell ref="C58:C60"/>
    <mergeCell ref="D59:D60"/>
    <mergeCell ref="P55:P60"/>
    <mergeCell ref="L57:L58"/>
    <mergeCell ref="N57:N58"/>
    <mergeCell ref="O57:O58"/>
    <mergeCell ref="L59:L60"/>
    <mergeCell ref="N59:N60"/>
    <mergeCell ref="O59:O60"/>
    <mergeCell ref="L55:L56"/>
    <mergeCell ref="N55:N56"/>
    <mergeCell ref="O55:O56"/>
    <mergeCell ref="E61:E62"/>
    <mergeCell ref="G61:G62"/>
    <mergeCell ref="H61:H62"/>
    <mergeCell ref="E55:E56"/>
    <mergeCell ref="G55:G56"/>
    <mergeCell ref="H55:H56"/>
    <mergeCell ref="E59:E60"/>
    <mergeCell ref="G59:G60"/>
    <mergeCell ref="H59:H60"/>
    <mergeCell ref="J55:J56"/>
    <mergeCell ref="G57:G58"/>
    <mergeCell ref="H57:H58"/>
    <mergeCell ref="J57:J58"/>
    <mergeCell ref="J59:J60"/>
    <mergeCell ref="E57:E58"/>
    <mergeCell ref="A61:A66"/>
    <mergeCell ref="B61:B66"/>
    <mergeCell ref="C61:C63"/>
    <mergeCell ref="D61:D62"/>
    <mergeCell ref="D63:D64"/>
    <mergeCell ref="C64:C66"/>
    <mergeCell ref="D65:D66"/>
    <mergeCell ref="N61:N62"/>
    <mergeCell ref="O61:O62"/>
    <mergeCell ref="P61:P66"/>
    <mergeCell ref="L63:L64"/>
    <mergeCell ref="N63:N64"/>
    <mergeCell ref="O63:O64"/>
    <mergeCell ref="L65:L66"/>
    <mergeCell ref="N65:N66"/>
    <mergeCell ref="O65:O66"/>
    <mergeCell ref="L61:L62"/>
    <mergeCell ref="E65:E66"/>
    <mergeCell ref="G65:G66"/>
    <mergeCell ref="H65:H66"/>
    <mergeCell ref="J65:J66"/>
    <mergeCell ref="E63:E64"/>
    <mergeCell ref="G63:G64"/>
    <mergeCell ref="H63:H64"/>
    <mergeCell ref="J63:J64"/>
    <mergeCell ref="J61:J62"/>
  </mergeCells>
  <printOptions horizontalCentered="1" verticalCentered="1"/>
  <pageMargins left="0.3937007874015748" right="0.3937007874015748" top="0.3937007874015748" bottom="0.3937007874015748" header="0.1968503937007874" footer="0.1968503937007874"/>
  <pageSetup orientation="landscape" paperSize="9" r:id="rId1"/>
  <rowBreaks count="1" manualBreakCount="1">
    <brk id="3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B1:BD42"/>
  <sheetViews>
    <sheetView view="pageBreakPreview" zoomScale="55" zoomScaleNormal="60" zoomScaleSheetLayoutView="55" zoomScalePageLayoutView="0" workbookViewId="0" topLeftCell="A1">
      <selection activeCell="AB5" sqref="AB5:AF5"/>
    </sheetView>
  </sheetViews>
  <sheetFormatPr defaultColWidth="8.59765625" defaultRowHeight="15"/>
  <cols>
    <col min="1" max="1" width="1.59765625" style="0" customWidth="1"/>
    <col min="2" max="2" width="16.59765625" style="0" customWidth="1"/>
    <col min="3" max="32" width="3.59765625" style="0" customWidth="1"/>
    <col min="33" max="35" width="5.59765625" style="0" customWidth="1"/>
    <col min="36" max="36" width="6.59765625" style="0" customWidth="1"/>
    <col min="37" max="38" width="5.59765625" style="0" hidden="1" customWidth="1"/>
    <col min="39" max="40" width="6.59765625" style="0" customWidth="1"/>
    <col min="41" max="41" width="3.5" style="0" customWidth="1"/>
    <col min="42" max="42" width="8.59765625" style="0" customWidth="1"/>
    <col min="43" max="43" width="2.59765625" style="0" customWidth="1"/>
    <col min="44" max="47" width="4.59765625" style="0" hidden="1" customWidth="1"/>
    <col min="48" max="48" width="8.3984375" style="0" hidden="1" customWidth="1"/>
    <col min="49" max="49" width="9.59765625" style="0" hidden="1" customWidth="1"/>
    <col min="50" max="50" width="4.59765625" style="0" hidden="1" customWidth="1"/>
    <col min="51" max="56" width="3.69921875" style="0" hidden="1" customWidth="1"/>
    <col min="57" max="57" width="3.69921875" style="0" customWidth="1"/>
  </cols>
  <sheetData>
    <row r="1" spans="2:40" ht="24">
      <c r="B1" s="25" t="s">
        <v>243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3" spans="5:40" ht="18.75" customHeight="1" thickBot="1">
      <c r="E3" s="4" t="s">
        <v>77</v>
      </c>
      <c r="AG3" s="67">
        <f>+'１部'!$AQ$3</f>
        <v>1</v>
      </c>
      <c r="AH3" s="68" t="str">
        <f>IF(AG3=1,"略称表示","日本語略称表示")&amp;"（１部成績表から）"</f>
        <v>略称表示（１部成績表から）</v>
      </c>
      <c r="AI3" s="69"/>
      <c r="AJ3" s="69"/>
      <c r="AK3" s="69"/>
      <c r="AL3" s="69"/>
      <c r="AM3" s="69"/>
      <c r="AN3" s="69"/>
    </row>
    <row r="4" spans="2:43" ht="29.25" customHeight="1" thickBot="1">
      <c r="B4" s="1"/>
      <c r="C4" s="196" t="str">
        <f>+B6</f>
        <v>Zoorasia</v>
      </c>
      <c r="D4" s="188"/>
      <c r="E4" s="188"/>
      <c r="F4" s="188"/>
      <c r="G4" s="189"/>
      <c r="H4" s="187" t="str">
        <f>+B10</f>
        <v>アトレチコ</v>
      </c>
      <c r="I4" s="188"/>
      <c r="J4" s="188"/>
      <c r="K4" s="188"/>
      <c r="L4" s="189"/>
      <c r="M4" s="187" t="str">
        <f>+B14</f>
        <v>azul</v>
      </c>
      <c r="N4" s="188"/>
      <c r="O4" s="188"/>
      <c r="P4" s="188"/>
      <c r="Q4" s="189"/>
      <c r="R4" s="187" t="str">
        <f>+B18</f>
        <v>ULTIMO</v>
      </c>
      <c r="S4" s="188"/>
      <c r="T4" s="188"/>
      <c r="U4" s="188"/>
      <c r="V4" s="189"/>
      <c r="W4" s="187" t="str">
        <f>+B22</f>
        <v>カメレオン</v>
      </c>
      <c r="X4" s="188"/>
      <c r="Y4" s="188"/>
      <c r="Z4" s="188"/>
      <c r="AA4" s="189"/>
      <c r="AB4" s="187" t="str">
        <f>+B26</f>
        <v>Craque</v>
      </c>
      <c r="AC4" s="188"/>
      <c r="AD4" s="188"/>
      <c r="AE4" s="188"/>
      <c r="AF4" s="189"/>
      <c r="AG4" s="33" t="s">
        <v>69</v>
      </c>
      <c r="AH4" s="5" t="s">
        <v>70</v>
      </c>
      <c r="AI4" s="5" t="s">
        <v>71</v>
      </c>
      <c r="AJ4" s="64" t="s">
        <v>72</v>
      </c>
      <c r="AK4" s="7" t="s">
        <v>73</v>
      </c>
      <c r="AL4" s="8" t="s">
        <v>74</v>
      </c>
      <c r="AM4" s="9" t="s">
        <v>75</v>
      </c>
      <c r="AN4" s="10" t="s">
        <v>76</v>
      </c>
      <c r="AP4" s="43" t="s">
        <v>111</v>
      </c>
      <c r="AQ4" s="50"/>
    </row>
    <row r="5" spans="2:56" ht="24" customHeight="1" thickBot="1">
      <c r="B5" s="66" t="s">
        <v>99</v>
      </c>
      <c r="C5" s="191"/>
      <c r="D5" s="192"/>
      <c r="E5" s="192"/>
      <c r="F5" s="192"/>
      <c r="G5" s="193"/>
      <c r="H5" s="249">
        <f>VLOOKUP("前"&amp;$B5&amp;J$31,'２部南対戦表'!$R$1:$U$89,4,FALSE)</f>
        <v>40378</v>
      </c>
      <c r="I5" s="250"/>
      <c r="J5" s="250"/>
      <c r="K5" s="250"/>
      <c r="L5" s="251"/>
      <c r="M5" s="249">
        <f>VLOOKUP("前"&amp;$B5&amp;O$31,'２部南対戦表'!$R$1:$U$89,4,FALSE)</f>
        <v>40371</v>
      </c>
      <c r="N5" s="250"/>
      <c r="O5" s="250"/>
      <c r="P5" s="250"/>
      <c r="Q5" s="251"/>
      <c r="R5" s="249">
        <f>VLOOKUP("前"&amp;$B5&amp;T$31,'２部南対戦表'!$R$1:$U$89,4,FALSE)</f>
        <v>40356</v>
      </c>
      <c r="S5" s="250"/>
      <c r="T5" s="250"/>
      <c r="U5" s="250"/>
      <c r="V5" s="251"/>
      <c r="W5" s="249">
        <f>VLOOKUP("前"&amp;$B5&amp;Y$31,'２部南対戦表'!$R$1:$U$89,4,FALSE)</f>
        <v>40329</v>
      </c>
      <c r="X5" s="250"/>
      <c r="Y5" s="250"/>
      <c r="Z5" s="250"/>
      <c r="AA5" s="251"/>
      <c r="AB5" s="249">
        <f>VLOOKUP("前"&amp;$B5&amp;AD$31,'２部南対戦表'!$R$1:$U$89,4,FALSE)</f>
        <v>40315</v>
      </c>
      <c r="AC5" s="250"/>
      <c r="AD5" s="250"/>
      <c r="AE5" s="250"/>
      <c r="AF5" s="250"/>
      <c r="AG5" s="253">
        <f>IF(AND($AR6=0,$AS6=0,$AT6=0),"",AR6)</f>
      </c>
      <c r="AH5" s="252">
        <f>IF(AND($AR6=0,$AS6=0,$AT6=0),"",AS6)</f>
      </c>
      <c r="AI5" s="252">
        <f>IF(AND($AR6=0,$AS6=0,$AT6=0),"",AT6)</f>
      </c>
      <c r="AJ5" s="254">
        <f>IF(AND($AR6=0,$AS6=0,$AT6=0),"",AU6+AP6)</f>
      </c>
      <c r="AK5" s="257">
        <f>IF(AND($AR6=0,$AS6=0,$AT6=0),"",AR8)</f>
      </c>
      <c r="AL5" s="257">
        <f>IF(AND($AR6=0,$AS6=0,$AT6=0),"",AS8)</f>
      </c>
      <c r="AM5" s="260">
        <f>IF(AND($AR6=0,$AS6=0,$AT6=0),"",AT8)</f>
      </c>
      <c r="AN5" s="247">
        <f>IF(AND($AR6=0,$AS6=0,$AT6=0),"",RANK(AW7,AW$7:AW$27))</f>
      </c>
      <c r="AR5" s="57" t="s">
        <v>86</v>
      </c>
      <c r="AS5" s="57" t="s">
        <v>87</v>
      </c>
      <c r="AT5" s="57" t="s">
        <v>88</v>
      </c>
      <c r="AU5" s="57" t="s">
        <v>89</v>
      </c>
      <c r="AV5" s="20"/>
      <c r="AW5" s="20"/>
      <c r="AY5" s="52">
        <f>IF(D6&lt;&gt;"",D6,0)</f>
        <v>0</v>
      </c>
      <c r="AZ5" s="52">
        <f>IF(I6&lt;&gt;"",I6,0)</f>
        <v>0</v>
      </c>
      <c r="BA5" s="52">
        <f>IF(N6&lt;&gt;"",N6,0)</f>
        <v>0</v>
      </c>
      <c r="BB5" s="52">
        <f>IF(S6&lt;&gt;"",S6,0)</f>
        <v>0</v>
      </c>
      <c r="BC5" s="52">
        <f>IF(X6&lt;&gt;"",X6,0)</f>
        <v>0</v>
      </c>
      <c r="BD5" s="52">
        <f>IF(AC6&lt;&gt;"",AC6,0)</f>
        <v>0</v>
      </c>
    </row>
    <row r="6" spans="2:56" ht="24" customHeight="1">
      <c r="B6" s="244" t="str">
        <f>VLOOKUP(B5,'参加チーム'!$B$5:$F$73,IF($AG$3=1,3,4),FALSE)</f>
        <v>Zoorasia</v>
      </c>
      <c r="C6" s="194"/>
      <c r="D6" s="145"/>
      <c r="E6" s="145"/>
      <c r="F6" s="145"/>
      <c r="G6" s="146"/>
      <c r="H6" s="30" t="s">
        <v>78</v>
      </c>
      <c r="I6" s="31">
        <f>VLOOKUP("前"&amp;$B5&amp;J$31,'２部南対戦表'!$R$1:$U$89,2,FALSE)</f>
      </c>
      <c r="J6" s="31">
        <f>IF(I6&lt;&gt;"",IF(I6&gt;K6,"○",IF(I6&lt;K6,"●","△")),"")</f>
      </c>
      <c r="K6" s="31">
        <f>VLOOKUP("前"&amp;$B5&amp;J$31,'２部南対戦表'!$R$1:$U$89,3,FALSE)</f>
      </c>
      <c r="L6" s="32" t="s">
        <v>79</v>
      </c>
      <c r="M6" s="30" t="s">
        <v>78</v>
      </c>
      <c r="N6" s="31">
        <f>VLOOKUP("前"&amp;$B5&amp;O$31,'２部南対戦表'!$R$1:$U$89,2,FALSE)</f>
      </c>
      <c r="O6" s="31">
        <f>IF(N6&lt;&gt;"",IF(N6&gt;P6,"○",IF(N6&lt;P6,"●","△")),"")</f>
      </c>
      <c r="P6" s="31">
        <f>VLOOKUP("前"&amp;$B5&amp;O$31,'２部南対戦表'!$R$1:$U$89,3,FALSE)</f>
      </c>
      <c r="Q6" s="32" t="s">
        <v>79</v>
      </c>
      <c r="R6" s="30" t="s">
        <v>78</v>
      </c>
      <c r="S6" s="31">
        <f>VLOOKUP("前"&amp;$B5&amp;T$31,'２部南対戦表'!$R$1:$U$89,2,FALSE)</f>
      </c>
      <c r="T6" s="31">
        <f>IF(S6&lt;&gt;"",IF(S6&gt;U6,"○",IF(S6&lt;U6,"●","△")),"")</f>
      </c>
      <c r="U6" s="31">
        <f>VLOOKUP("前"&amp;$B5&amp;T$31,'２部南対戦表'!$R$1:$U$89,3,FALSE)</f>
      </c>
      <c r="V6" s="32" t="s">
        <v>79</v>
      </c>
      <c r="W6" s="30" t="s">
        <v>78</v>
      </c>
      <c r="X6" s="31">
        <f>VLOOKUP("前"&amp;$B5&amp;Y$31,'２部南対戦表'!$R$1:$U$89,2,FALSE)</f>
      </c>
      <c r="Y6" s="31">
        <f>IF(X6&lt;&gt;"",IF(X6&gt;Z6,"○",IF(X6&lt;Z6,"●","△")),"")</f>
      </c>
      <c r="Z6" s="31">
        <f>VLOOKUP("前"&amp;$B5&amp;Y$31,'２部南対戦表'!$R$1:$U$89,3,FALSE)</f>
      </c>
      <c r="AA6" s="32" t="s">
        <v>79</v>
      </c>
      <c r="AB6" s="30" t="s">
        <v>78</v>
      </c>
      <c r="AC6" s="31">
        <f>VLOOKUP("前"&amp;$B5&amp;AD$31,'２部南対戦表'!$R$1:$U$89,2,FALSE)</f>
      </c>
      <c r="AD6" s="31">
        <f>IF(AC6&lt;&gt;"",IF(AC6&gt;AE6,"○",IF(AC6&lt;AE6,"●","△")),"")</f>
      </c>
      <c r="AE6" s="31">
        <f>VLOOKUP("前"&amp;$B5&amp;AD$31,'２部南対戦表'!$R$1:$U$89,3,FALSE)</f>
      </c>
      <c r="AF6" s="31" t="s">
        <v>79</v>
      </c>
      <c r="AG6" s="153"/>
      <c r="AH6" s="169"/>
      <c r="AI6" s="169"/>
      <c r="AJ6" s="255"/>
      <c r="AK6" s="165"/>
      <c r="AL6" s="165"/>
      <c r="AM6" s="174"/>
      <c r="AN6" s="151"/>
      <c r="AP6" s="158"/>
      <c r="AQ6" s="51"/>
      <c r="AR6" s="22">
        <f>COUNTIF($C5:$AF8,"○")</f>
        <v>0</v>
      </c>
      <c r="AS6" s="22">
        <f>COUNTIF($C5:$AF8,"△")</f>
        <v>0</v>
      </c>
      <c r="AT6" s="22">
        <f>COUNTIF($C5:$AF8,"●")</f>
        <v>0</v>
      </c>
      <c r="AU6" s="57">
        <f>AR6*3+AS6</f>
        <v>0</v>
      </c>
      <c r="AV6" s="20"/>
      <c r="AW6" s="20"/>
      <c r="AY6" s="53">
        <f>IF(F6&lt;&gt;"",F6,0)</f>
        <v>0</v>
      </c>
      <c r="AZ6" s="53">
        <f>IF(K6&lt;&gt;"",K6,0)</f>
        <v>0</v>
      </c>
      <c r="BA6" s="53">
        <f>IF(P6&lt;&gt;"",P6,0)</f>
        <v>0</v>
      </c>
      <c r="BB6" s="53">
        <f>IF(U6&lt;&gt;"",U6,0)</f>
        <v>0</v>
      </c>
      <c r="BC6" s="53">
        <f>IF(Z6&lt;&gt;"",Z6,0)</f>
        <v>0</v>
      </c>
      <c r="BD6" s="53">
        <f>IF(AE6&lt;&gt;"",AE6,0)</f>
        <v>0</v>
      </c>
    </row>
    <row r="7" spans="2:56" ht="24" customHeight="1" thickBot="1">
      <c r="B7" s="244"/>
      <c r="C7" s="194"/>
      <c r="D7" s="145"/>
      <c r="E7" s="145"/>
      <c r="F7" s="145"/>
      <c r="G7" s="146"/>
      <c r="H7" s="135" t="e">
        <f>VLOOKUP("後"&amp;$B5&amp;J$31,'２部南対戦表'!$R$1:$U$89,4,FALSE)</f>
        <v>#N/A</v>
      </c>
      <c r="I7" s="136"/>
      <c r="J7" s="136"/>
      <c r="K7" s="136"/>
      <c r="L7" s="137"/>
      <c r="M7" s="135" t="e">
        <f>VLOOKUP("後"&amp;$B5&amp;O$31,'２部南対戦表'!$R$1:$U$89,4,FALSE)</f>
        <v>#N/A</v>
      </c>
      <c r="N7" s="136"/>
      <c r="O7" s="136"/>
      <c r="P7" s="136"/>
      <c r="Q7" s="137"/>
      <c r="R7" s="184" t="e">
        <f>VLOOKUP("後"&amp;$B5&amp;T$31,'２部南対戦表'!$R$1:$U$89,4,FALSE)</f>
        <v>#N/A</v>
      </c>
      <c r="S7" s="185"/>
      <c r="T7" s="185"/>
      <c r="U7" s="185"/>
      <c r="V7" s="186"/>
      <c r="W7" s="184" t="e">
        <f>VLOOKUP("後"&amp;$B5&amp;Y$31,'２部南対戦表'!$R$1:$U$89,4,FALSE)</f>
        <v>#N/A</v>
      </c>
      <c r="X7" s="185"/>
      <c r="Y7" s="185"/>
      <c r="Z7" s="185"/>
      <c r="AA7" s="186"/>
      <c r="AB7" s="184" t="e">
        <f>VLOOKUP("後"&amp;$B5&amp;AD$31,'２部南対戦表'!$R$1:$U$89,4,FALSE)</f>
        <v>#N/A</v>
      </c>
      <c r="AC7" s="185"/>
      <c r="AD7" s="185"/>
      <c r="AE7" s="185"/>
      <c r="AF7" s="185"/>
      <c r="AG7" s="153"/>
      <c r="AH7" s="169"/>
      <c r="AI7" s="169"/>
      <c r="AJ7" s="255"/>
      <c r="AK7" s="165"/>
      <c r="AL7" s="165"/>
      <c r="AM7" s="174"/>
      <c r="AN7" s="151"/>
      <c r="AP7" s="159"/>
      <c r="AQ7" s="51"/>
      <c r="AR7" s="65" t="s">
        <v>90</v>
      </c>
      <c r="AS7" s="65" t="s">
        <v>91</v>
      </c>
      <c r="AT7" s="65" t="s">
        <v>92</v>
      </c>
      <c r="AU7" s="21"/>
      <c r="AV7" s="21" t="s">
        <v>98</v>
      </c>
      <c r="AW7" s="55">
        <f>IF(AND(AR6=0,AS6=0,AT6=0),0,+AJ5*1000+AM5)</f>
        <v>0</v>
      </c>
      <c r="AY7" s="53">
        <f>IF(D8&lt;&gt;"",D8,0)</f>
        <v>0</v>
      </c>
      <c r="AZ7" s="53" t="e">
        <f>IF(I8&lt;&gt;"",I8,0)</f>
        <v>#N/A</v>
      </c>
      <c r="BA7" s="53" t="e">
        <f>IF(N8&lt;&gt;"",N8,0)</f>
        <v>#N/A</v>
      </c>
      <c r="BB7" s="53" t="e">
        <f>IF(S8&lt;&gt;"",S8,0)</f>
        <v>#N/A</v>
      </c>
      <c r="BC7" s="53" t="e">
        <f>IF(X8&lt;&gt;"",X8,0)</f>
        <v>#N/A</v>
      </c>
      <c r="BD7" s="53" t="e">
        <f>IF(AC8&lt;&gt;"",AC8,0)</f>
        <v>#N/A</v>
      </c>
    </row>
    <row r="8" spans="2:56" ht="24" customHeight="1">
      <c r="B8" s="245"/>
      <c r="C8" s="195"/>
      <c r="D8" s="148"/>
      <c r="E8" s="148"/>
      <c r="F8" s="148"/>
      <c r="G8" s="149"/>
      <c r="H8" s="27" t="s">
        <v>78</v>
      </c>
      <c r="I8" s="28" t="e">
        <f>VLOOKUP("後"&amp;$B5&amp;J$31,'２部南対戦表'!$R$1:$U$89,2,FALSE)</f>
        <v>#N/A</v>
      </c>
      <c r="J8" s="28" t="e">
        <f>IF(I8&lt;&gt;"",IF(I8&gt;K8,"○",IF(I8&lt;K8,"●","△")),"")</f>
        <v>#N/A</v>
      </c>
      <c r="K8" s="28" t="e">
        <f>VLOOKUP("後"&amp;$B5&amp;J$31,'２部南対戦表'!$R$1:$U$89,3,FALSE)</f>
        <v>#N/A</v>
      </c>
      <c r="L8" s="29" t="s">
        <v>79</v>
      </c>
      <c r="M8" s="27" t="s">
        <v>78</v>
      </c>
      <c r="N8" s="28" t="e">
        <f>VLOOKUP("後"&amp;$B5&amp;O$31,'２部南対戦表'!$R$1:$U$89,2,FALSE)</f>
        <v>#N/A</v>
      </c>
      <c r="O8" s="28" t="e">
        <f>IF(N8&lt;&gt;"",IF(N8&gt;P8,"○",IF(N8&lt;P8,"●","△")),"")</f>
        <v>#N/A</v>
      </c>
      <c r="P8" s="28" t="e">
        <f>VLOOKUP("後"&amp;$B5&amp;O$31,'２部南対戦表'!$R$1:$U$89,3,FALSE)</f>
        <v>#N/A</v>
      </c>
      <c r="Q8" s="29" t="s">
        <v>79</v>
      </c>
      <c r="R8" s="27" t="s">
        <v>78</v>
      </c>
      <c r="S8" s="28" t="e">
        <f>VLOOKUP("後"&amp;$B5&amp;T$31,'２部南対戦表'!$R$1:$U$89,2,FALSE)</f>
        <v>#N/A</v>
      </c>
      <c r="T8" s="28" t="e">
        <f>IF(S8&lt;&gt;"",IF(S8&gt;U8,"○",IF(S8&lt;U8,"●","△")),"")</f>
        <v>#N/A</v>
      </c>
      <c r="U8" s="28" t="e">
        <f>VLOOKUP("後"&amp;$B5&amp;T$31,'２部南対戦表'!$R$1:$U$89,3,FALSE)</f>
        <v>#N/A</v>
      </c>
      <c r="V8" s="29" t="s">
        <v>79</v>
      </c>
      <c r="W8" s="27" t="s">
        <v>78</v>
      </c>
      <c r="X8" s="28" t="e">
        <f>VLOOKUP("後"&amp;$B5&amp;Y$31,'２部南対戦表'!$R$1:$U$89,2,FALSE)</f>
        <v>#N/A</v>
      </c>
      <c r="Y8" s="28" t="e">
        <f>IF(X8&lt;&gt;"",IF(X8&gt;Z8,"○",IF(X8&lt;Z8,"●","△")),"")</f>
        <v>#N/A</v>
      </c>
      <c r="Z8" s="28" t="e">
        <f>VLOOKUP("後"&amp;$B5&amp;Y$31,'２部南対戦表'!$R$1:$U$89,3,FALSE)</f>
        <v>#N/A</v>
      </c>
      <c r="AA8" s="29" t="s">
        <v>79</v>
      </c>
      <c r="AB8" s="27" t="s">
        <v>78</v>
      </c>
      <c r="AC8" s="28" t="e">
        <f>VLOOKUP("後"&amp;$B5&amp;AD$31,'２部南対戦表'!$R$1:$U$89,2,FALSE)</f>
        <v>#N/A</v>
      </c>
      <c r="AD8" s="28" t="e">
        <f>IF(AC8&lt;&gt;"",IF(AC8&gt;AE8,"○",IF(AC8&lt;AE8,"●","△")),"")</f>
        <v>#N/A</v>
      </c>
      <c r="AE8" s="28" t="e">
        <f>VLOOKUP("後"&amp;$B5&amp;AD$31,'２部南対戦表'!$R$1:$U$89,3,FALSE)</f>
        <v>#N/A</v>
      </c>
      <c r="AF8" s="28" t="s">
        <v>79</v>
      </c>
      <c r="AG8" s="154"/>
      <c r="AH8" s="183"/>
      <c r="AI8" s="183"/>
      <c r="AJ8" s="256"/>
      <c r="AK8" s="165"/>
      <c r="AL8" s="165"/>
      <c r="AM8" s="174"/>
      <c r="AN8" s="152"/>
      <c r="AR8" s="65" t="e">
        <f>SUM(AY5:BD5)+SUM(AY7:BD7)</f>
        <v>#N/A</v>
      </c>
      <c r="AS8" s="65" t="e">
        <f>SUM(AY6:BD6)+SUM(AY8:BD8)</f>
        <v>#N/A</v>
      </c>
      <c r="AT8" s="47" t="e">
        <f>+AR8-AS8</f>
        <v>#N/A</v>
      </c>
      <c r="AU8" s="21"/>
      <c r="AV8" s="21"/>
      <c r="AW8" s="21"/>
      <c r="AY8" s="54">
        <f>IF(F8&lt;&gt;"",F8,0)</f>
        <v>0</v>
      </c>
      <c r="AZ8" s="54" t="e">
        <f>IF(K8&lt;&gt;"",K8,0)</f>
        <v>#N/A</v>
      </c>
      <c r="BA8" s="54" t="e">
        <f>IF(P8&lt;&gt;"",P8,0)</f>
        <v>#N/A</v>
      </c>
      <c r="BB8" s="54" t="e">
        <f>IF(U8&lt;&gt;"",U8,0)</f>
        <v>#N/A</v>
      </c>
      <c r="BC8" s="54" t="e">
        <f>IF(Z8&lt;&gt;"",Z8,0)</f>
        <v>#N/A</v>
      </c>
      <c r="BD8" s="54" t="e">
        <f>IF(AE8&lt;&gt;"",AE8,0)</f>
        <v>#N/A</v>
      </c>
    </row>
    <row r="9" spans="2:56" ht="24" customHeight="1" thickBot="1">
      <c r="B9" s="2" t="s">
        <v>6</v>
      </c>
      <c r="C9" s="138">
        <f>VLOOKUP("前"&amp;$B9&amp;E$31,'２部南対戦表'!$R$1:$U$89,4,FALSE)</f>
        <v>40378</v>
      </c>
      <c r="D9" s="139"/>
      <c r="E9" s="139"/>
      <c r="F9" s="139"/>
      <c r="G9" s="140"/>
      <c r="H9" s="141"/>
      <c r="I9" s="142"/>
      <c r="J9" s="142"/>
      <c r="K9" s="142"/>
      <c r="L9" s="143"/>
      <c r="M9" s="138">
        <f>VLOOKUP("前"&amp;$B9&amp;O$31,'２部南対戦表'!$R$1:$U$89,4,FALSE)</f>
        <v>40356</v>
      </c>
      <c r="N9" s="139"/>
      <c r="O9" s="139"/>
      <c r="P9" s="139"/>
      <c r="Q9" s="140"/>
      <c r="R9" s="138">
        <f>VLOOKUP("前"&amp;$B9&amp;T$31,'２部南対戦表'!$R$1:$U$89,4,FALSE)</f>
        <v>40329</v>
      </c>
      <c r="S9" s="139"/>
      <c r="T9" s="139"/>
      <c r="U9" s="139"/>
      <c r="V9" s="140"/>
      <c r="W9" s="138">
        <f>VLOOKUP("前"&amp;$B9&amp;Y$31,'２部南対戦表'!$R$1:$U$89,4,FALSE)</f>
        <v>40315</v>
      </c>
      <c r="X9" s="139"/>
      <c r="Y9" s="139"/>
      <c r="Z9" s="139"/>
      <c r="AA9" s="140"/>
      <c r="AB9" s="138">
        <f>VLOOKUP("前"&amp;$B9&amp;AD$31,'２部南対戦表'!$R$1:$U$89,4,FALSE)</f>
        <v>40371</v>
      </c>
      <c r="AC9" s="139"/>
      <c r="AD9" s="139"/>
      <c r="AE9" s="139"/>
      <c r="AF9" s="139"/>
      <c r="AG9" s="153">
        <f>IF(AND($AR10=0,$AS10=0,$AT10=0),"",AR10)</f>
      </c>
      <c r="AH9" s="169">
        <f>IF(AND($AR10=0,$AS10=0,$AT10=0),"",AS10)</f>
      </c>
      <c r="AI9" s="169">
        <f>IF(AND($AR10=0,$AS10=0,$AT10=0),"",AT10)</f>
      </c>
      <c r="AJ9" s="258">
        <f>IF(AND($AR10=0,$AS10=0,$AT10=0),"",AU10+AP10)</f>
      </c>
      <c r="AK9" s="180">
        <f>IF(AND($AR10=0,$AS10=0,$AT10=0),"",AR12)</f>
      </c>
      <c r="AL9" s="180">
        <f>IF(AND($AR10=0,$AS10=0,$AT10=0),"",AS12)</f>
      </c>
      <c r="AM9" s="177">
        <f>IF(AND($AR10=0,$AS10=0,$AT10=0),"",AT12)</f>
      </c>
      <c r="AN9" s="150">
        <f>IF(AND($AR10=0,$AS10=0,$AT10=0),"",RANK(AW11,AW$7:AW$27))</f>
      </c>
      <c r="AR9" s="57" t="s">
        <v>86</v>
      </c>
      <c r="AS9" s="57" t="s">
        <v>87</v>
      </c>
      <c r="AT9" s="57" t="s">
        <v>88</v>
      </c>
      <c r="AU9" s="57" t="s">
        <v>89</v>
      </c>
      <c r="AV9" s="20"/>
      <c r="AW9" s="20"/>
      <c r="AY9" s="52">
        <f>IF(D10&lt;&gt;"",D10,0)</f>
        <v>0</v>
      </c>
      <c r="AZ9" s="52">
        <f>IF(I10&lt;&gt;"",I10,0)</f>
        <v>0</v>
      </c>
      <c r="BA9" s="52">
        <f>IF(N10&lt;&gt;"",N10,0)</f>
        <v>0</v>
      </c>
      <c r="BB9" s="52">
        <f>IF(S10&lt;&gt;"",S10,0)</f>
        <v>0</v>
      </c>
      <c r="BC9" s="52">
        <f>IF(X10&lt;&gt;"",X10,0)</f>
        <v>0</v>
      </c>
      <c r="BD9" s="52">
        <f>IF(AC10&lt;&gt;"",AC10,0)</f>
        <v>0</v>
      </c>
    </row>
    <row r="10" spans="2:56" ht="24" customHeight="1">
      <c r="B10" s="244" t="str">
        <f>VLOOKUP(B9,'参加チーム'!$B$5:$F$73,IF($AG$3=1,3,4),FALSE)</f>
        <v>アトレチコ</v>
      </c>
      <c r="C10" s="30" t="s">
        <v>78</v>
      </c>
      <c r="D10" s="31">
        <f>VLOOKUP("前"&amp;$B9&amp;E$31,'２部南対戦表'!$R$1:$U$89,2,FALSE)</f>
      </c>
      <c r="E10" s="31">
        <f>IF(D10&lt;&gt;"",IF(D10&gt;F10,"○",IF(D10&lt;F10,"●","△")),"")</f>
      </c>
      <c r="F10" s="31">
        <f>VLOOKUP("前"&amp;$B9&amp;E$31,'２部南対戦表'!$R$1:$U$89,3,FALSE)</f>
      </c>
      <c r="G10" s="32" t="s">
        <v>79</v>
      </c>
      <c r="H10" s="144"/>
      <c r="I10" s="145"/>
      <c r="J10" s="145"/>
      <c r="K10" s="145"/>
      <c r="L10" s="146"/>
      <c r="M10" s="30" t="s">
        <v>78</v>
      </c>
      <c r="N10" s="31">
        <f>VLOOKUP("前"&amp;$B9&amp;O$31,'２部南対戦表'!$R$1:$U$89,2,FALSE)</f>
      </c>
      <c r="O10" s="31">
        <f>IF(N10&lt;&gt;"",IF(N10&gt;P10,"○",IF(N10&lt;P10,"●","△")),"")</f>
      </c>
      <c r="P10" s="31">
        <f>VLOOKUP("前"&amp;$B9&amp;O$31,'２部南対戦表'!$R$1:$U$89,3,FALSE)</f>
      </c>
      <c r="Q10" s="32" t="s">
        <v>79</v>
      </c>
      <c r="R10" s="30" t="s">
        <v>78</v>
      </c>
      <c r="S10" s="31">
        <f>VLOOKUP("前"&amp;$B9&amp;T$31,'２部南対戦表'!$R$1:$U$89,2,FALSE)</f>
      </c>
      <c r="T10" s="31">
        <f>IF(S10&lt;&gt;"",IF(S10&gt;U10,"○",IF(S10&lt;U10,"●","△")),"")</f>
      </c>
      <c r="U10" s="31">
        <f>VLOOKUP("前"&amp;$B9&amp;T$31,'２部南対戦表'!$R$1:$U$89,3,FALSE)</f>
      </c>
      <c r="V10" s="32" t="s">
        <v>79</v>
      </c>
      <c r="W10" s="30" t="s">
        <v>78</v>
      </c>
      <c r="X10" s="31">
        <f>VLOOKUP("前"&amp;$B9&amp;Y$31,'２部南対戦表'!$R$1:$U$89,2,FALSE)</f>
      </c>
      <c r="Y10" s="31">
        <f>IF(X10&lt;&gt;"",IF(X10&gt;Z10,"○",IF(X10&lt;Z10,"●","△")),"")</f>
      </c>
      <c r="Z10" s="31">
        <f>VLOOKUP("前"&amp;$B9&amp;Y$31,'２部南対戦表'!$R$1:$U$89,3,FALSE)</f>
      </c>
      <c r="AA10" s="32" t="s">
        <v>79</v>
      </c>
      <c r="AB10" s="30" t="s">
        <v>78</v>
      </c>
      <c r="AC10" s="31">
        <f>VLOOKUP("前"&amp;$B9&amp;AD$31,'２部南対戦表'!$R$1:$U$89,2,FALSE)</f>
      </c>
      <c r="AD10" s="31">
        <f>IF(AC10&lt;&gt;"",IF(AC10&gt;AE10,"○",IF(AC10&lt;AE10,"●","△")),"")</f>
      </c>
      <c r="AE10" s="31">
        <f>VLOOKUP("前"&amp;$B9&amp;AD$31,'２部南対戦表'!$R$1:$U$89,3,FALSE)</f>
      </c>
      <c r="AF10" s="31" t="s">
        <v>79</v>
      </c>
      <c r="AG10" s="153"/>
      <c r="AH10" s="169"/>
      <c r="AI10" s="169"/>
      <c r="AJ10" s="255"/>
      <c r="AK10" s="181"/>
      <c r="AL10" s="181"/>
      <c r="AM10" s="178"/>
      <c r="AN10" s="151"/>
      <c r="AP10" s="158"/>
      <c r="AQ10" s="51"/>
      <c r="AR10" s="22">
        <f>COUNTIF($C9:$AF12,"○")</f>
        <v>0</v>
      </c>
      <c r="AS10" s="22">
        <f>COUNTIF($C9:$AF12,"△")</f>
        <v>0</v>
      </c>
      <c r="AT10" s="22">
        <f>COUNTIF($C9:$AF12,"●")</f>
        <v>0</v>
      </c>
      <c r="AU10" s="57">
        <f>AR10*3+AS10</f>
        <v>0</v>
      </c>
      <c r="AV10" s="20"/>
      <c r="AW10" s="20"/>
      <c r="AY10" s="53">
        <f>IF(F10&lt;&gt;"",F10,0)</f>
        <v>0</v>
      </c>
      <c r="AZ10" s="53">
        <f>IF(K10&lt;&gt;"",K10,0)</f>
        <v>0</v>
      </c>
      <c r="BA10" s="53">
        <f>IF(P10&lt;&gt;"",P10,0)</f>
        <v>0</v>
      </c>
      <c r="BB10" s="53">
        <f>IF(U10&lt;&gt;"",U10,0)</f>
        <v>0</v>
      </c>
      <c r="BC10" s="53">
        <f>IF(Z10&lt;&gt;"",Z10,0)</f>
        <v>0</v>
      </c>
      <c r="BD10" s="53">
        <f>IF(AE10&lt;&gt;"",AE10,0)</f>
        <v>0</v>
      </c>
    </row>
    <row r="11" spans="2:56" ht="24" customHeight="1" thickBot="1">
      <c r="B11" s="244"/>
      <c r="C11" s="135" t="e">
        <f>VLOOKUP("後"&amp;$B9&amp;E$31,'２部南対戦表'!$R$1:$U$89,4,FALSE)</f>
        <v>#N/A</v>
      </c>
      <c r="D11" s="136"/>
      <c r="E11" s="136"/>
      <c r="F11" s="136"/>
      <c r="G11" s="137"/>
      <c r="H11" s="144"/>
      <c r="I11" s="145"/>
      <c r="J11" s="145"/>
      <c r="K11" s="145"/>
      <c r="L11" s="146"/>
      <c r="M11" s="135" t="e">
        <f>VLOOKUP("後"&amp;$B9&amp;O$31,'２部南対戦表'!$R$1:$U$89,4,FALSE)</f>
        <v>#N/A</v>
      </c>
      <c r="N11" s="136"/>
      <c r="O11" s="136"/>
      <c r="P11" s="136"/>
      <c r="Q11" s="137"/>
      <c r="R11" s="184" t="e">
        <f>VLOOKUP("後"&amp;$B9&amp;T$31,'２部南対戦表'!$R$1:$U$89,4,FALSE)</f>
        <v>#N/A</v>
      </c>
      <c r="S11" s="185"/>
      <c r="T11" s="185"/>
      <c r="U11" s="185"/>
      <c r="V11" s="186"/>
      <c r="W11" s="184" t="e">
        <f>VLOOKUP("後"&amp;$B9&amp;Y$31,'２部南対戦表'!$R$1:$U$89,4,FALSE)</f>
        <v>#N/A</v>
      </c>
      <c r="X11" s="185"/>
      <c r="Y11" s="185"/>
      <c r="Z11" s="185"/>
      <c r="AA11" s="186"/>
      <c r="AB11" s="184" t="e">
        <f>VLOOKUP("後"&amp;$B9&amp;AD$31,'２部南対戦表'!$R$1:$U$89,4,FALSE)</f>
        <v>#N/A</v>
      </c>
      <c r="AC11" s="185"/>
      <c r="AD11" s="185"/>
      <c r="AE11" s="185"/>
      <c r="AF11" s="185"/>
      <c r="AG11" s="153"/>
      <c r="AH11" s="169"/>
      <c r="AI11" s="169"/>
      <c r="AJ11" s="255"/>
      <c r="AK11" s="181"/>
      <c r="AL11" s="181"/>
      <c r="AM11" s="178"/>
      <c r="AN11" s="151"/>
      <c r="AP11" s="159"/>
      <c r="AQ11" s="51"/>
      <c r="AR11" s="65" t="s">
        <v>90</v>
      </c>
      <c r="AS11" s="65" t="s">
        <v>91</v>
      </c>
      <c r="AT11" s="65" t="s">
        <v>92</v>
      </c>
      <c r="AU11" s="21"/>
      <c r="AV11" s="21" t="s">
        <v>98</v>
      </c>
      <c r="AW11" s="55">
        <f>IF(AND(AR10=0,AS10=0,AT10=0),0,+AJ9*1000+AM9)</f>
        <v>0</v>
      </c>
      <c r="AY11" s="53" t="e">
        <f>IF(D12&lt;&gt;"",D12,0)</f>
        <v>#N/A</v>
      </c>
      <c r="AZ11" s="53">
        <f>IF(I12&lt;&gt;"",I12,0)</f>
        <v>0</v>
      </c>
      <c r="BA11" s="53" t="e">
        <f>IF(N12&lt;&gt;"",N12,0)</f>
        <v>#N/A</v>
      </c>
      <c r="BB11" s="53" t="e">
        <f>IF(S12&lt;&gt;"",S12,0)</f>
        <v>#N/A</v>
      </c>
      <c r="BC11" s="53" t="e">
        <f>IF(X12&lt;&gt;"",X12,0)</f>
        <v>#N/A</v>
      </c>
      <c r="BD11" s="53" t="e">
        <f>IF(AC12&lt;&gt;"",AC12,0)</f>
        <v>#N/A</v>
      </c>
    </row>
    <row r="12" spans="2:56" ht="24" customHeight="1">
      <c r="B12" s="245"/>
      <c r="C12" s="27" t="s">
        <v>78</v>
      </c>
      <c r="D12" s="28" t="e">
        <f>VLOOKUP("後"&amp;$B9&amp;E$31,'２部南対戦表'!$R$1:$U$89,2,FALSE)</f>
        <v>#N/A</v>
      </c>
      <c r="E12" s="28" t="e">
        <f>IF(D12&lt;&gt;"",IF(D12&gt;F12,"○",IF(D12&lt;F12,"●","△")),"")</f>
        <v>#N/A</v>
      </c>
      <c r="F12" s="28" t="e">
        <f>VLOOKUP("後"&amp;$B9&amp;E$31,'２部南対戦表'!$R$1:$U$89,3,FALSE)</f>
        <v>#N/A</v>
      </c>
      <c r="G12" s="29" t="s">
        <v>79</v>
      </c>
      <c r="H12" s="147"/>
      <c r="I12" s="148"/>
      <c r="J12" s="148"/>
      <c r="K12" s="148"/>
      <c r="L12" s="149"/>
      <c r="M12" s="27" t="s">
        <v>78</v>
      </c>
      <c r="N12" s="28" t="e">
        <f>VLOOKUP("後"&amp;$B9&amp;O$31,'２部南対戦表'!$R$1:$U$89,2,FALSE)</f>
        <v>#N/A</v>
      </c>
      <c r="O12" s="28" t="e">
        <f>IF(N12&lt;&gt;"",IF(N12&gt;P12,"○",IF(N12&lt;P12,"●","△")),"")</f>
        <v>#N/A</v>
      </c>
      <c r="P12" s="28" t="e">
        <f>VLOOKUP("後"&amp;$B9&amp;O$31,'２部南対戦表'!$R$1:$U$89,3,FALSE)</f>
        <v>#N/A</v>
      </c>
      <c r="Q12" s="29" t="s">
        <v>79</v>
      </c>
      <c r="R12" s="27" t="s">
        <v>78</v>
      </c>
      <c r="S12" s="28" t="e">
        <f>VLOOKUP("後"&amp;$B9&amp;T$31,'２部南対戦表'!$R$1:$U$89,2,FALSE)</f>
        <v>#N/A</v>
      </c>
      <c r="T12" s="28" t="e">
        <f>IF(S12&lt;&gt;"",IF(S12&gt;U12,"○",IF(S12&lt;U12,"●","△")),"")</f>
        <v>#N/A</v>
      </c>
      <c r="U12" s="28" t="e">
        <f>VLOOKUP("後"&amp;$B9&amp;T$31,'２部南対戦表'!$R$1:$U$89,3,FALSE)</f>
        <v>#N/A</v>
      </c>
      <c r="V12" s="29" t="s">
        <v>79</v>
      </c>
      <c r="W12" s="27" t="s">
        <v>78</v>
      </c>
      <c r="X12" s="28" t="e">
        <f>VLOOKUP("後"&amp;$B9&amp;Y$31,'２部南対戦表'!$R$1:$U$89,2,FALSE)</f>
        <v>#N/A</v>
      </c>
      <c r="Y12" s="28" t="e">
        <f>IF(X12&lt;&gt;"",IF(X12&gt;Z12,"○",IF(X12&lt;Z12,"●","△")),"")</f>
        <v>#N/A</v>
      </c>
      <c r="Z12" s="28" t="e">
        <f>VLOOKUP("後"&amp;$B9&amp;Y$31,'２部南対戦表'!$R$1:$U$89,3,FALSE)</f>
        <v>#N/A</v>
      </c>
      <c r="AA12" s="29" t="s">
        <v>79</v>
      </c>
      <c r="AB12" s="27" t="s">
        <v>78</v>
      </c>
      <c r="AC12" s="28" t="e">
        <f>VLOOKUP("後"&amp;$B9&amp;AD$31,'２部南対戦表'!$R$1:$U$89,2,FALSE)</f>
        <v>#N/A</v>
      </c>
      <c r="AD12" s="28" t="e">
        <f>IF(AC12&lt;&gt;"",IF(AC12&gt;AE12,"○",IF(AC12&lt;AE12,"●","△")),"")</f>
        <v>#N/A</v>
      </c>
      <c r="AE12" s="28" t="e">
        <f>VLOOKUP("後"&amp;$B9&amp;AD$31,'２部南対戦表'!$R$1:$U$89,3,FALSE)</f>
        <v>#N/A</v>
      </c>
      <c r="AF12" s="28" t="s">
        <v>79</v>
      </c>
      <c r="AG12" s="154"/>
      <c r="AH12" s="183"/>
      <c r="AI12" s="183"/>
      <c r="AJ12" s="256"/>
      <c r="AK12" s="182"/>
      <c r="AL12" s="182"/>
      <c r="AM12" s="179"/>
      <c r="AN12" s="152"/>
      <c r="AR12" s="65" t="e">
        <f>SUM(AY9:BD9)+SUM(AY11:BD11)</f>
        <v>#N/A</v>
      </c>
      <c r="AS12" s="65" t="e">
        <f>SUM(AY10:BD10)+SUM(AY12:BD12)</f>
        <v>#N/A</v>
      </c>
      <c r="AT12" s="47" t="e">
        <f>+AR12-AS12</f>
        <v>#N/A</v>
      </c>
      <c r="AU12" s="21"/>
      <c r="AV12" s="21"/>
      <c r="AW12" s="21"/>
      <c r="AY12" s="54" t="e">
        <f>IF(F12&lt;&gt;"",F12,0)</f>
        <v>#N/A</v>
      </c>
      <c r="AZ12" s="54">
        <f>IF(K12&lt;&gt;"",K12,0)</f>
        <v>0</v>
      </c>
      <c r="BA12" s="54" t="e">
        <f>IF(P12&lt;&gt;"",P12,0)</f>
        <v>#N/A</v>
      </c>
      <c r="BB12" s="54" t="e">
        <f>IF(U12&lt;&gt;"",U12,0)</f>
        <v>#N/A</v>
      </c>
      <c r="BC12" s="54" t="e">
        <f>IF(Z12&lt;&gt;"",Z12,0)</f>
        <v>#N/A</v>
      </c>
      <c r="BD12" s="54" t="e">
        <f>IF(AE12&lt;&gt;"",AE12,0)</f>
        <v>#N/A</v>
      </c>
    </row>
    <row r="13" spans="2:56" ht="24" customHeight="1" thickBot="1">
      <c r="B13" s="3" t="s">
        <v>7</v>
      </c>
      <c r="C13" s="138">
        <f>VLOOKUP("前"&amp;$B13&amp;E$31,'２部南対戦表'!$R$1:$U$89,4,FALSE)</f>
        <v>40371</v>
      </c>
      <c r="D13" s="139"/>
      <c r="E13" s="139"/>
      <c r="F13" s="139"/>
      <c r="G13" s="140"/>
      <c r="H13" s="138">
        <f>VLOOKUP("前"&amp;$B13&amp;J$31,'２部南対戦表'!$R$1:$U$89,4,FALSE)</f>
        <v>40356</v>
      </c>
      <c r="I13" s="139"/>
      <c r="J13" s="139"/>
      <c r="K13" s="139"/>
      <c r="L13" s="140"/>
      <c r="M13" s="141"/>
      <c r="N13" s="142"/>
      <c r="O13" s="142"/>
      <c r="P13" s="142"/>
      <c r="Q13" s="143"/>
      <c r="R13" s="138">
        <f>VLOOKUP("前"&amp;$B13&amp;T$31,'２部南対戦表'!$R$1:$U$89,4,FALSE)</f>
        <v>40315</v>
      </c>
      <c r="S13" s="139"/>
      <c r="T13" s="139"/>
      <c r="U13" s="139"/>
      <c r="V13" s="140"/>
      <c r="W13" s="138">
        <f>VLOOKUP("前"&amp;$B13&amp;Y$31,'２部南対戦表'!$R$1:$U$89,4,FALSE)</f>
        <v>40378</v>
      </c>
      <c r="X13" s="139"/>
      <c r="Y13" s="139"/>
      <c r="Z13" s="139"/>
      <c r="AA13" s="140"/>
      <c r="AB13" s="138">
        <f>VLOOKUP("前"&amp;$B13&amp;AD$31,'２部南対戦表'!$R$1:$U$89,4,FALSE)</f>
        <v>40329</v>
      </c>
      <c r="AC13" s="139"/>
      <c r="AD13" s="139"/>
      <c r="AE13" s="139"/>
      <c r="AF13" s="139"/>
      <c r="AG13" s="153">
        <f>IF(AND($AR14=0,$AS14=0,$AT14=0),"",AR14)</f>
      </c>
      <c r="AH13" s="169">
        <f>IF(AND($AR14=0,$AS14=0,$AT14=0),"",AS14)</f>
      </c>
      <c r="AI13" s="169">
        <f>IF(AND($AR14=0,$AS14=0,$AT14=0),"",AT14)</f>
      </c>
      <c r="AJ13" s="258">
        <f>IF(AND($AR14=0,$AS14=0,$AT14=0),"",AU14+AP14)</f>
      </c>
      <c r="AK13" s="180">
        <f>IF(AND($AR14=0,$AS14=0,$AT14=0),"",AR16)</f>
      </c>
      <c r="AL13" s="180">
        <f>IF(AND($AR14=0,$AS14=0,$AT14=0),"",AS16)</f>
      </c>
      <c r="AM13" s="177">
        <f>IF(AND($AR14=0,$AS14=0,$AT14=0),"",AT16)</f>
      </c>
      <c r="AN13" s="150">
        <f>IF(AND($AR14=0,$AS14=0,$AT14=0),"",RANK(AW15,AW$7:AW$27))</f>
      </c>
      <c r="AR13" s="57" t="s">
        <v>86</v>
      </c>
      <c r="AS13" s="57" t="s">
        <v>87</v>
      </c>
      <c r="AT13" s="57" t="s">
        <v>88</v>
      </c>
      <c r="AU13" s="57" t="s">
        <v>89</v>
      </c>
      <c r="AV13" s="20"/>
      <c r="AW13" s="20"/>
      <c r="AY13" s="52">
        <f>IF(D14&lt;&gt;"",D14,0)</f>
        <v>0</v>
      </c>
      <c r="AZ13" s="52">
        <f>IF(I14&lt;&gt;"",I14,0)</f>
        <v>0</v>
      </c>
      <c r="BA13" s="52">
        <f>IF(N14&lt;&gt;"",N14,0)</f>
        <v>0</v>
      </c>
      <c r="BB13" s="52">
        <f>IF(S14&lt;&gt;"",S14,0)</f>
        <v>0</v>
      </c>
      <c r="BC13" s="52">
        <f>IF(X14&lt;&gt;"",X14,0)</f>
        <v>0</v>
      </c>
      <c r="BD13" s="52">
        <f>IF(AC14&lt;&gt;"",AC14,0)</f>
        <v>0</v>
      </c>
    </row>
    <row r="14" spans="2:56" ht="24" customHeight="1">
      <c r="B14" s="244" t="str">
        <f>VLOOKUP(B13,'参加チーム'!$B$5:$F$73,3,FALSE)</f>
        <v>azul</v>
      </c>
      <c r="C14" s="30" t="s">
        <v>78</v>
      </c>
      <c r="D14" s="31">
        <f>VLOOKUP("前"&amp;$B13&amp;E$31,'２部南対戦表'!$R$1:$U$89,2,FALSE)</f>
      </c>
      <c r="E14" s="31">
        <f>IF(D14&lt;&gt;"",IF(D14&gt;F14,"○",IF(D14&lt;F14,"●","△")),"")</f>
      </c>
      <c r="F14" s="31">
        <f>VLOOKUP("前"&amp;$B13&amp;E$31,'２部南対戦表'!$R$1:$U$89,3,FALSE)</f>
      </c>
      <c r="G14" s="32" t="s">
        <v>79</v>
      </c>
      <c r="H14" s="30" t="s">
        <v>78</v>
      </c>
      <c r="I14" s="31">
        <f>VLOOKUP("前"&amp;$B13&amp;J$31,'２部南対戦表'!$R$1:$U$89,2,FALSE)</f>
      </c>
      <c r="J14" s="31">
        <f>IF(I14&lt;&gt;"",IF(I14&gt;K14,"○",IF(I14&lt;K14,"●","△")),"")</f>
      </c>
      <c r="K14" s="31">
        <f>VLOOKUP("前"&amp;$B13&amp;J$31,'２部南対戦表'!$R$1:$U$89,3,FALSE)</f>
      </c>
      <c r="L14" s="32" t="s">
        <v>79</v>
      </c>
      <c r="M14" s="144"/>
      <c r="N14" s="145"/>
      <c r="O14" s="145"/>
      <c r="P14" s="145"/>
      <c r="Q14" s="146"/>
      <c r="R14" s="30" t="s">
        <v>78</v>
      </c>
      <c r="S14" s="31">
        <f>VLOOKUP("前"&amp;$B13&amp;T$31,'２部南対戦表'!$R$1:$U$89,2,FALSE)</f>
      </c>
      <c r="T14" s="31">
        <f>IF(S14&lt;&gt;"",IF(S14&gt;U14,"○",IF(S14&lt;U14,"●","△")),"")</f>
      </c>
      <c r="U14" s="31">
        <f>VLOOKUP("前"&amp;$B13&amp;T$31,'２部南対戦表'!$R$1:$U$89,3,FALSE)</f>
      </c>
      <c r="V14" s="32" t="s">
        <v>79</v>
      </c>
      <c r="W14" s="30" t="s">
        <v>78</v>
      </c>
      <c r="X14" s="31">
        <f>VLOOKUP("前"&amp;$B13&amp;Y$31,'２部南対戦表'!$R$1:$U$89,2,FALSE)</f>
      </c>
      <c r="Y14" s="31">
        <f>IF(X14&lt;&gt;"",IF(X14&gt;Z14,"○",IF(X14&lt;Z14,"●","△")),"")</f>
      </c>
      <c r="Z14" s="31">
        <f>VLOOKUP("前"&amp;$B13&amp;Y$31,'２部南対戦表'!$R$1:$U$89,3,FALSE)</f>
      </c>
      <c r="AA14" s="32" t="s">
        <v>79</v>
      </c>
      <c r="AB14" s="30" t="s">
        <v>78</v>
      </c>
      <c r="AC14" s="31">
        <f>VLOOKUP("前"&amp;$B13&amp;AD$31,'２部南対戦表'!$R$1:$U$89,2,FALSE)</f>
      </c>
      <c r="AD14" s="31">
        <f>IF(AC14&lt;&gt;"",IF(AC14&gt;AE14,"○",IF(AC14&lt;AE14,"●","△")),"")</f>
      </c>
      <c r="AE14" s="31">
        <f>VLOOKUP("前"&amp;$B13&amp;AD$31,'２部南対戦表'!$R$1:$U$89,3,FALSE)</f>
      </c>
      <c r="AF14" s="31" t="s">
        <v>79</v>
      </c>
      <c r="AG14" s="153"/>
      <c r="AH14" s="169"/>
      <c r="AI14" s="169"/>
      <c r="AJ14" s="255"/>
      <c r="AK14" s="181"/>
      <c r="AL14" s="181"/>
      <c r="AM14" s="178"/>
      <c r="AN14" s="151"/>
      <c r="AP14" s="158"/>
      <c r="AQ14" s="51"/>
      <c r="AR14" s="22">
        <f>COUNTIF($C13:$AF16,"○")</f>
        <v>0</v>
      </c>
      <c r="AS14" s="22">
        <f>COUNTIF($C13:$AF16,"△")</f>
        <v>0</v>
      </c>
      <c r="AT14" s="22">
        <f>COUNTIF($C13:$AF16,"●")</f>
        <v>0</v>
      </c>
      <c r="AU14" s="57">
        <f>AR14*3+AS14</f>
        <v>0</v>
      </c>
      <c r="AV14" s="20"/>
      <c r="AW14" s="20"/>
      <c r="AY14" s="53">
        <f>IF(F14&lt;&gt;"",F14,0)</f>
        <v>0</v>
      </c>
      <c r="AZ14" s="53">
        <f>IF(K14&lt;&gt;"",K14,0)</f>
        <v>0</v>
      </c>
      <c r="BA14" s="53">
        <f>IF(P14&lt;&gt;"",P14,0)</f>
        <v>0</v>
      </c>
      <c r="BB14" s="53">
        <f>IF(U14&lt;&gt;"",U14,0)</f>
        <v>0</v>
      </c>
      <c r="BC14" s="53">
        <f>IF(Z14&lt;&gt;"",Z14,0)</f>
        <v>0</v>
      </c>
      <c r="BD14" s="53">
        <f>IF(AE14&lt;&gt;"",AE14,0)</f>
        <v>0</v>
      </c>
    </row>
    <row r="15" spans="2:56" ht="24" customHeight="1" thickBot="1">
      <c r="B15" s="244"/>
      <c r="C15" s="135" t="e">
        <f>VLOOKUP("後"&amp;$B13&amp;E$31,'２部南対戦表'!$R$1:$U$89,4,FALSE)</f>
        <v>#N/A</v>
      </c>
      <c r="D15" s="136"/>
      <c r="E15" s="136"/>
      <c r="F15" s="136"/>
      <c r="G15" s="137"/>
      <c r="H15" s="135" t="e">
        <f>VLOOKUP("後"&amp;$B13&amp;J$31,'２部南対戦表'!$R$1:$U$89,4,FALSE)</f>
        <v>#N/A</v>
      </c>
      <c r="I15" s="136"/>
      <c r="J15" s="136"/>
      <c r="K15" s="136"/>
      <c r="L15" s="137"/>
      <c r="M15" s="144"/>
      <c r="N15" s="145"/>
      <c r="O15" s="145"/>
      <c r="P15" s="145"/>
      <c r="Q15" s="146"/>
      <c r="R15" s="184" t="e">
        <f>VLOOKUP("後"&amp;$B13&amp;T$31,'２部南対戦表'!$R$1:$U$89,4,FALSE)</f>
        <v>#N/A</v>
      </c>
      <c r="S15" s="185"/>
      <c r="T15" s="185"/>
      <c r="U15" s="185"/>
      <c r="V15" s="186"/>
      <c r="W15" s="184" t="e">
        <f>VLOOKUP("後"&amp;$B13&amp;Y$31,'２部南対戦表'!$R$1:$U$89,4,FALSE)</f>
        <v>#N/A</v>
      </c>
      <c r="X15" s="185"/>
      <c r="Y15" s="185"/>
      <c r="Z15" s="185"/>
      <c r="AA15" s="186"/>
      <c r="AB15" s="184" t="e">
        <f>VLOOKUP("後"&amp;$B13&amp;AD$31,'２部南対戦表'!$R$1:$U$89,4,FALSE)</f>
        <v>#N/A</v>
      </c>
      <c r="AC15" s="185"/>
      <c r="AD15" s="185"/>
      <c r="AE15" s="185"/>
      <c r="AF15" s="185"/>
      <c r="AG15" s="153"/>
      <c r="AH15" s="169"/>
      <c r="AI15" s="169"/>
      <c r="AJ15" s="255"/>
      <c r="AK15" s="181"/>
      <c r="AL15" s="181"/>
      <c r="AM15" s="178"/>
      <c r="AN15" s="151"/>
      <c r="AP15" s="159"/>
      <c r="AQ15" s="51"/>
      <c r="AR15" s="65" t="s">
        <v>90</v>
      </c>
      <c r="AS15" s="65" t="s">
        <v>91</v>
      </c>
      <c r="AT15" s="65" t="s">
        <v>92</v>
      </c>
      <c r="AU15" s="21"/>
      <c r="AV15" s="21" t="s">
        <v>98</v>
      </c>
      <c r="AW15" s="55">
        <f>IF(AND(AR14=0,AS14=0,AT14=0),0,+AJ13*1000+AM13)</f>
        <v>0</v>
      </c>
      <c r="AY15" s="53" t="e">
        <f>IF(D16&lt;&gt;"",D16,0)</f>
        <v>#N/A</v>
      </c>
      <c r="AZ15" s="53" t="e">
        <f>IF(I16&lt;&gt;"",I16,0)</f>
        <v>#N/A</v>
      </c>
      <c r="BA15" s="53">
        <f>IF(N16&lt;&gt;"",N16,0)</f>
        <v>0</v>
      </c>
      <c r="BB15" s="53" t="e">
        <f>IF(S16&lt;&gt;"",S16,0)</f>
        <v>#N/A</v>
      </c>
      <c r="BC15" s="53" t="e">
        <f>IF(X16&lt;&gt;"",X16,0)</f>
        <v>#N/A</v>
      </c>
      <c r="BD15" s="53" t="e">
        <f>IF(AC16&lt;&gt;"",AC16,0)</f>
        <v>#N/A</v>
      </c>
    </row>
    <row r="16" spans="2:56" ht="24" customHeight="1">
      <c r="B16" s="245"/>
      <c r="C16" s="27" t="s">
        <v>78</v>
      </c>
      <c r="D16" s="28" t="e">
        <f>VLOOKUP("後"&amp;$B13&amp;E$31,'２部南対戦表'!$R$1:$U$89,2,FALSE)</f>
        <v>#N/A</v>
      </c>
      <c r="E16" s="28" t="e">
        <f>IF(D16&lt;&gt;"",IF(D16&gt;F16,"○",IF(D16&lt;F16,"●","△")),"")</f>
        <v>#N/A</v>
      </c>
      <c r="F16" s="28" t="e">
        <f>VLOOKUP("後"&amp;$B13&amp;E$31,'２部南対戦表'!$R$1:$U$89,3,FALSE)</f>
        <v>#N/A</v>
      </c>
      <c r="G16" s="29" t="s">
        <v>79</v>
      </c>
      <c r="H16" s="27" t="s">
        <v>78</v>
      </c>
      <c r="I16" s="28" t="e">
        <f>VLOOKUP("後"&amp;$B13&amp;J$31,'２部南対戦表'!$R$1:$U$89,2,FALSE)</f>
        <v>#N/A</v>
      </c>
      <c r="J16" s="28" t="e">
        <f>IF(I16&lt;&gt;"",IF(I16&gt;K16,"○",IF(I16&lt;K16,"●","△")),"")</f>
        <v>#N/A</v>
      </c>
      <c r="K16" s="28" t="e">
        <f>VLOOKUP("後"&amp;$B13&amp;J$31,'２部南対戦表'!$R$1:$U$89,3,FALSE)</f>
        <v>#N/A</v>
      </c>
      <c r="L16" s="29" t="s">
        <v>79</v>
      </c>
      <c r="M16" s="147"/>
      <c r="N16" s="148"/>
      <c r="O16" s="148"/>
      <c r="P16" s="148"/>
      <c r="Q16" s="149"/>
      <c r="R16" s="27" t="s">
        <v>78</v>
      </c>
      <c r="S16" s="28" t="e">
        <f>VLOOKUP("後"&amp;$B13&amp;T$31,'２部南対戦表'!$R$1:$U$89,2,FALSE)</f>
        <v>#N/A</v>
      </c>
      <c r="T16" s="28" t="e">
        <f>IF(S16&lt;&gt;"",IF(S16&gt;U16,"○",IF(S16&lt;U16,"●","△")),"")</f>
        <v>#N/A</v>
      </c>
      <c r="U16" s="28" t="e">
        <f>VLOOKUP("後"&amp;$B13&amp;T$31,'２部南対戦表'!$R$1:$U$89,3,FALSE)</f>
        <v>#N/A</v>
      </c>
      <c r="V16" s="29" t="s">
        <v>79</v>
      </c>
      <c r="W16" s="27" t="s">
        <v>78</v>
      </c>
      <c r="X16" s="28" t="e">
        <f>VLOOKUP("後"&amp;$B13&amp;Y$31,'２部南対戦表'!$R$1:$U$89,2,FALSE)</f>
        <v>#N/A</v>
      </c>
      <c r="Y16" s="28" t="e">
        <f>IF(X16&lt;&gt;"",IF(X16&gt;Z16,"○",IF(X16&lt;Z16,"●","△")),"")</f>
        <v>#N/A</v>
      </c>
      <c r="Z16" s="28" t="e">
        <f>VLOOKUP("後"&amp;$B13&amp;Y$31,'２部南対戦表'!$R$1:$U$89,3,FALSE)</f>
        <v>#N/A</v>
      </c>
      <c r="AA16" s="29" t="s">
        <v>79</v>
      </c>
      <c r="AB16" s="27" t="s">
        <v>78</v>
      </c>
      <c r="AC16" s="28" t="e">
        <f>VLOOKUP("後"&amp;$B13&amp;AD$31,'２部南対戦表'!$R$1:$U$89,2,FALSE)</f>
        <v>#N/A</v>
      </c>
      <c r="AD16" s="28" t="e">
        <f>IF(AC16&lt;&gt;"",IF(AC16&gt;AE16,"○",IF(AC16&lt;AE16,"●","△")),"")</f>
        <v>#N/A</v>
      </c>
      <c r="AE16" s="28" t="e">
        <f>VLOOKUP("後"&amp;$B13&amp;AD$31,'２部南対戦表'!$R$1:$U$89,3,FALSE)</f>
        <v>#N/A</v>
      </c>
      <c r="AF16" s="28" t="s">
        <v>79</v>
      </c>
      <c r="AG16" s="154"/>
      <c r="AH16" s="183"/>
      <c r="AI16" s="183"/>
      <c r="AJ16" s="256"/>
      <c r="AK16" s="182"/>
      <c r="AL16" s="182"/>
      <c r="AM16" s="179"/>
      <c r="AN16" s="152"/>
      <c r="AR16" s="65" t="e">
        <f>SUM(AY13:BD13)+SUM(AY15:BD15)</f>
        <v>#N/A</v>
      </c>
      <c r="AS16" s="65" t="e">
        <f>SUM(AY14:BD14)+SUM(AY16:BD16)</f>
        <v>#N/A</v>
      </c>
      <c r="AT16" s="47" t="e">
        <f>+AR16-AS16</f>
        <v>#N/A</v>
      </c>
      <c r="AU16" s="21"/>
      <c r="AV16" s="21"/>
      <c r="AW16" s="21"/>
      <c r="AY16" s="54" t="e">
        <f>IF(F16&lt;&gt;"",F16,0)</f>
        <v>#N/A</v>
      </c>
      <c r="AZ16" s="54" t="e">
        <f>IF(K16&lt;&gt;"",K16,0)</f>
        <v>#N/A</v>
      </c>
      <c r="BA16" s="54">
        <f>IF(P16&lt;&gt;"",P16,0)</f>
        <v>0</v>
      </c>
      <c r="BB16" s="54" t="e">
        <f>IF(U16&lt;&gt;"",U16,0)</f>
        <v>#N/A</v>
      </c>
      <c r="BC16" s="54" t="e">
        <f>IF(Z16&lt;&gt;"",Z16,0)</f>
        <v>#N/A</v>
      </c>
      <c r="BD16" s="54" t="e">
        <f>IF(AE16&lt;&gt;"",AE16,0)</f>
        <v>#N/A</v>
      </c>
    </row>
    <row r="17" spans="2:56" ht="24" customHeight="1" thickBot="1">
      <c r="B17" s="3" t="s">
        <v>8</v>
      </c>
      <c r="C17" s="138">
        <f>VLOOKUP("前"&amp;$B17&amp;E$31,'２部南対戦表'!$R$1:$U$89,4,FALSE)</f>
        <v>40356</v>
      </c>
      <c r="D17" s="139"/>
      <c r="E17" s="139"/>
      <c r="F17" s="139"/>
      <c r="G17" s="140"/>
      <c r="H17" s="138">
        <f>VLOOKUP("前"&amp;$B17&amp;J$31,'２部南対戦表'!$R$1:$U$89,4,FALSE)</f>
        <v>40329</v>
      </c>
      <c r="I17" s="139"/>
      <c r="J17" s="139"/>
      <c r="K17" s="139"/>
      <c r="L17" s="140"/>
      <c r="M17" s="138">
        <f>VLOOKUP("前"&amp;$B17&amp;O$31,'２部南対戦表'!$R$1:$U$89,4,FALSE)</f>
        <v>40315</v>
      </c>
      <c r="N17" s="139"/>
      <c r="O17" s="139"/>
      <c r="P17" s="139"/>
      <c r="Q17" s="140"/>
      <c r="R17" s="141"/>
      <c r="S17" s="142"/>
      <c r="T17" s="142"/>
      <c r="U17" s="142"/>
      <c r="V17" s="143"/>
      <c r="W17" s="138">
        <f>VLOOKUP("前"&amp;$B17&amp;Y$31,'２部南対戦表'!$R$1:$U$89,4,FALSE)</f>
        <v>40371</v>
      </c>
      <c r="X17" s="139"/>
      <c r="Y17" s="139"/>
      <c r="Z17" s="139"/>
      <c r="AA17" s="140"/>
      <c r="AB17" s="138">
        <f>VLOOKUP("前"&amp;$B17&amp;AD$31,'２部南対戦表'!$R$1:$U$89,4,FALSE)</f>
        <v>40378</v>
      </c>
      <c r="AC17" s="139"/>
      <c r="AD17" s="139"/>
      <c r="AE17" s="139"/>
      <c r="AF17" s="139"/>
      <c r="AG17" s="153">
        <f>IF(AND($AR18=0,$AS18=0,$AT18=0),"",AR18)</f>
      </c>
      <c r="AH17" s="169">
        <f>IF(AND($AR18=0,$AS18=0,$AT18=0),"",AS18)</f>
      </c>
      <c r="AI17" s="169">
        <f>IF(AND($AR18=0,$AS18=0,$AT18=0),"",AT18)</f>
      </c>
      <c r="AJ17" s="258">
        <f>IF(AND($AR18=0,$AS18=0,$AT18=0),"",AU18+AP18)</f>
      </c>
      <c r="AK17" s="180">
        <f>IF(AND($AR18=0,$AS18=0,$AT18=0),"",AR20)</f>
      </c>
      <c r="AL17" s="180">
        <f>IF(AND($AR18=0,$AS18=0,$AT18=0),"",AS20)</f>
      </c>
      <c r="AM17" s="177">
        <f>IF(AND($AR18=0,$AS18=0,$AT18=0),"",AT20)</f>
      </c>
      <c r="AN17" s="150">
        <f>IF(AND($AR18=0,$AS18=0,$AT18=0),"",RANK(AW19,AW$7:AW$27))</f>
      </c>
      <c r="AR17" s="57" t="s">
        <v>86</v>
      </c>
      <c r="AS17" s="57" t="s">
        <v>87</v>
      </c>
      <c r="AT17" s="57" t="s">
        <v>88</v>
      </c>
      <c r="AU17" s="57" t="s">
        <v>89</v>
      </c>
      <c r="AV17" s="20"/>
      <c r="AW17" s="20"/>
      <c r="AY17" s="52">
        <f>IF(D18&lt;&gt;"",D18,0)</f>
        <v>0</v>
      </c>
      <c r="AZ17" s="52">
        <f>IF(I18&lt;&gt;"",I18,0)</f>
        <v>0</v>
      </c>
      <c r="BA17" s="52">
        <f>IF(N18&lt;&gt;"",N18,0)</f>
        <v>0</v>
      </c>
      <c r="BB17" s="52">
        <f>IF(S18&lt;&gt;"",S18,0)</f>
        <v>0</v>
      </c>
      <c r="BC17" s="52">
        <f>IF(X18&lt;&gt;"",X18,0)</f>
        <v>0</v>
      </c>
      <c r="BD17" s="52">
        <f>IF(AC18&lt;&gt;"",AC18,0)</f>
        <v>0</v>
      </c>
    </row>
    <row r="18" spans="2:56" ht="24" customHeight="1">
      <c r="B18" s="244" t="str">
        <f>VLOOKUP(B17,'参加チーム'!$B$5:$F$73,3,FALSE)</f>
        <v>ULTIMO</v>
      </c>
      <c r="C18" s="30" t="s">
        <v>78</v>
      </c>
      <c r="D18" s="31">
        <f>VLOOKUP("前"&amp;$B17&amp;E$31,'２部南対戦表'!$R$1:$U$89,2,FALSE)</f>
      </c>
      <c r="E18" s="31">
        <f>IF(D18&lt;&gt;"",IF(D18&gt;F18,"○",IF(D18&lt;F18,"●","△")),"")</f>
      </c>
      <c r="F18" s="31">
        <f>VLOOKUP("前"&amp;$B17&amp;E$31,'２部南対戦表'!$R$1:$U$89,3,FALSE)</f>
      </c>
      <c r="G18" s="32" t="s">
        <v>79</v>
      </c>
      <c r="H18" s="30" t="s">
        <v>78</v>
      </c>
      <c r="I18" s="31">
        <f>VLOOKUP("前"&amp;$B17&amp;J$31,'２部南対戦表'!$R$1:$U$89,2,FALSE)</f>
      </c>
      <c r="J18" s="31">
        <f>IF(I18&lt;&gt;"",IF(I18&gt;K18,"○",IF(I18&lt;K18,"●","△")),"")</f>
      </c>
      <c r="K18" s="31">
        <f>VLOOKUP("前"&amp;$B17&amp;J$31,'２部南対戦表'!$R$1:$U$89,3,FALSE)</f>
      </c>
      <c r="L18" s="32" t="s">
        <v>79</v>
      </c>
      <c r="M18" s="30" t="s">
        <v>78</v>
      </c>
      <c r="N18" s="31">
        <f>VLOOKUP("前"&amp;$B17&amp;O$31,'２部南対戦表'!$R$1:$U$89,2,FALSE)</f>
      </c>
      <c r="O18" s="31">
        <f>IF(N18&lt;&gt;"",IF(N18&gt;P18,"○",IF(N18&lt;P18,"●","△")),"")</f>
      </c>
      <c r="P18" s="31">
        <f>VLOOKUP("前"&amp;$B17&amp;O$31,'２部南対戦表'!$R$1:$U$89,3,FALSE)</f>
      </c>
      <c r="Q18" s="32" t="s">
        <v>79</v>
      </c>
      <c r="R18" s="144"/>
      <c r="S18" s="145"/>
      <c r="T18" s="145"/>
      <c r="U18" s="145"/>
      <c r="V18" s="146"/>
      <c r="W18" s="30" t="s">
        <v>78</v>
      </c>
      <c r="X18" s="31">
        <f>VLOOKUP("前"&amp;$B17&amp;Y$31,'２部南対戦表'!$R$1:$U$89,2,FALSE)</f>
      </c>
      <c r="Y18" s="31">
        <f>IF(X18&lt;&gt;"",IF(X18&gt;Z18,"○",IF(X18&lt;Z18,"●","△")),"")</f>
      </c>
      <c r="Z18" s="31">
        <f>VLOOKUP("前"&amp;$B17&amp;Y$31,'２部南対戦表'!$R$1:$U$89,3,FALSE)</f>
      </c>
      <c r="AA18" s="32" t="s">
        <v>79</v>
      </c>
      <c r="AB18" s="30" t="s">
        <v>78</v>
      </c>
      <c r="AC18" s="31">
        <f>VLOOKUP("前"&amp;$B17&amp;AD$31,'２部南対戦表'!$R$1:$U$89,2,FALSE)</f>
      </c>
      <c r="AD18" s="31">
        <f>IF(AC18&lt;&gt;"",IF(AC18&gt;AE18,"○",IF(AC18&lt;AE18,"●","△")),"")</f>
      </c>
      <c r="AE18" s="31">
        <f>VLOOKUP("前"&amp;$B17&amp;AD$31,'２部南対戦表'!$R$1:$U$89,3,FALSE)</f>
      </c>
      <c r="AF18" s="31" t="s">
        <v>79</v>
      </c>
      <c r="AG18" s="153"/>
      <c r="AH18" s="169"/>
      <c r="AI18" s="169"/>
      <c r="AJ18" s="255"/>
      <c r="AK18" s="181"/>
      <c r="AL18" s="181"/>
      <c r="AM18" s="178"/>
      <c r="AN18" s="151"/>
      <c r="AP18" s="158"/>
      <c r="AQ18" s="51"/>
      <c r="AR18" s="22">
        <f>COUNTIF($C17:$AF20,"○")</f>
        <v>0</v>
      </c>
      <c r="AS18" s="22">
        <f>COUNTIF($C17:$AF20,"△")</f>
        <v>0</v>
      </c>
      <c r="AT18" s="22">
        <f>COUNTIF($C17:$AF20,"●")</f>
        <v>0</v>
      </c>
      <c r="AU18" s="57">
        <f>AR18*3+AS18</f>
        <v>0</v>
      </c>
      <c r="AV18" s="20"/>
      <c r="AW18" s="20"/>
      <c r="AY18" s="53">
        <f>IF(F18&lt;&gt;"",F18,0)</f>
        <v>0</v>
      </c>
      <c r="AZ18" s="53">
        <f>IF(K18&lt;&gt;"",K18,0)</f>
        <v>0</v>
      </c>
      <c r="BA18" s="53">
        <f>IF(P18&lt;&gt;"",P18,0)</f>
        <v>0</v>
      </c>
      <c r="BB18" s="53">
        <f>IF(U18&lt;&gt;"",U18,0)</f>
        <v>0</v>
      </c>
      <c r="BC18" s="53">
        <f>IF(Z18&lt;&gt;"",Z18,0)</f>
        <v>0</v>
      </c>
      <c r="BD18" s="53">
        <f>IF(AE18&lt;&gt;"",AE18,0)</f>
        <v>0</v>
      </c>
    </row>
    <row r="19" spans="2:56" ht="24" customHeight="1" thickBot="1">
      <c r="B19" s="244"/>
      <c r="C19" s="135" t="e">
        <f>VLOOKUP("後"&amp;$B17&amp;E$31,'２部南対戦表'!$R$1:$U$89,4,FALSE)</f>
        <v>#N/A</v>
      </c>
      <c r="D19" s="136"/>
      <c r="E19" s="136"/>
      <c r="F19" s="136"/>
      <c r="G19" s="137"/>
      <c r="H19" s="135" t="e">
        <f>VLOOKUP("後"&amp;$B17&amp;J$31,'２部南対戦表'!$R$1:$U$89,4,FALSE)</f>
        <v>#N/A</v>
      </c>
      <c r="I19" s="136"/>
      <c r="J19" s="136"/>
      <c r="K19" s="136"/>
      <c r="L19" s="137"/>
      <c r="M19" s="135" t="e">
        <f>VLOOKUP("後"&amp;$B17&amp;O$31,'２部南対戦表'!$R$1:$U$89,4,FALSE)</f>
        <v>#N/A</v>
      </c>
      <c r="N19" s="136"/>
      <c r="O19" s="136"/>
      <c r="P19" s="136"/>
      <c r="Q19" s="137"/>
      <c r="R19" s="144"/>
      <c r="S19" s="145"/>
      <c r="T19" s="145"/>
      <c r="U19" s="145"/>
      <c r="V19" s="146"/>
      <c r="W19" s="184" t="e">
        <f>VLOOKUP("後"&amp;$B17&amp;Y$31,'２部南対戦表'!$R$1:$U$89,4,FALSE)</f>
        <v>#N/A</v>
      </c>
      <c r="X19" s="185"/>
      <c r="Y19" s="185"/>
      <c r="Z19" s="185"/>
      <c r="AA19" s="186"/>
      <c r="AB19" s="184" t="e">
        <f>VLOOKUP("後"&amp;$B17&amp;AD$31,'２部南対戦表'!$R$1:$U$89,4,FALSE)</f>
        <v>#N/A</v>
      </c>
      <c r="AC19" s="185"/>
      <c r="AD19" s="185"/>
      <c r="AE19" s="185"/>
      <c r="AF19" s="185"/>
      <c r="AG19" s="153"/>
      <c r="AH19" s="169"/>
      <c r="AI19" s="169"/>
      <c r="AJ19" s="255"/>
      <c r="AK19" s="181"/>
      <c r="AL19" s="181"/>
      <c r="AM19" s="178"/>
      <c r="AN19" s="151"/>
      <c r="AP19" s="159"/>
      <c r="AQ19" s="51"/>
      <c r="AR19" s="65" t="s">
        <v>90</v>
      </c>
      <c r="AS19" s="65" t="s">
        <v>91</v>
      </c>
      <c r="AT19" s="65" t="s">
        <v>92</v>
      </c>
      <c r="AU19" s="21"/>
      <c r="AV19" s="21" t="s">
        <v>98</v>
      </c>
      <c r="AW19" s="55">
        <f>IF(AND(AR18=0,AS18=0,AT18=0),0,+AJ17*1000+AM17)</f>
        <v>0</v>
      </c>
      <c r="AY19" s="53" t="e">
        <f>IF(D20&lt;&gt;"",D20,0)</f>
        <v>#N/A</v>
      </c>
      <c r="AZ19" s="53" t="e">
        <f>IF(I20&lt;&gt;"",I20,0)</f>
        <v>#N/A</v>
      </c>
      <c r="BA19" s="53" t="e">
        <f>IF(N20&lt;&gt;"",N20,0)</f>
        <v>#N/A</v>
      </c>
      <c r="BB19" s="53">
        <f>IF(S20&lt;&gt;"",S20,0)</f>
        <v>0</v>
      </c>
      <c r="BC19" s="53" t="e">
        <f>IF(X20&lt;&gt;"",X20,0)</f>
        <v>#N/A</v>
      </c>
      <c r="BD19" s="53" t="e">
        <f>IF(AC20&lt;&gt;"",AC20,0)</f>
        <v>#N/A</v>
      </c>
    </row>
    <row r="20" spans="2:56" ht="24" customHeight="1">
      <c r="B20" s="245"/>
      <c r="C20" s="27" t="s">
        <v>78</v>
      </c>
      <c r="D20" s="28" t="e">
        <f>VLOOKUP("後"&amp;$B17&amp;E$31,'２部南対戦表'!$R$1:$U$89,2,FALSE)</f>
        <v>#N/A</v>
      </c>
      <c r="E20" s="28" t="e">
        <f>IF(D20&lt;&gt;"",IF(D20&gt;F20,"○",IF(D20&lt;F20,"●","△")),"")</f>
        <v>#N/A</v>
      </c>
      <c r="F20" s="28" t="e">
        <f>VLOOKUP("後"&amp;$B17&amp;E$31,'２部南対戦表'!$R$1:$U$89,3,FALSE)</f>
        <v>#N/A</v>
      </c>
      <c r="G20" s="29" t="s">
        <v>79</v>
      </c>
      <c r="H20" s="27" t="s">
        <v>78</v>
      </c>
      <c r="I20" s="28" t="e">
        <f>VLOOKUP("後"&amp;$B17&amp;J$31,'２部南対戦表'!$R$1:$U$89,2,FALSE)</f>
        <v>#N/A</v>
      </c>
      <c r="J20" s="28" t="e">
        <f>IF(I20&lt;&gt;"",IF(I20&gt;K20,"○",IF(I20&lt;K20,"●","△")),"")</f>
        <v>#N/A</v>
      </c>
      <c r="K20" s="28" t="e">
        <f>VLOOKUP("後"&amp;$B17&amp;J$31,'２部南対戦表'!$R$1:$U$89,3,FALSE)</f>
        <v>#N/A</v>
      </c>
      <c r="L20" s="29" t="s">
        <v>79</v>
      </c>
      <c r="M20" s="27" t="s">
        <v>78</v>
      </c>
      <c r="N20" s="28" t="e">
        <f>VLOOKUP("後"&amp;$B17&amp;O$31,'２部南対戦表'!$R$1:$U$89,2,FALSE)</f>
        <v>#N/A</v>
      </c>
      <c r="O20" s="28" t="e">
        <f>IF(N20&lt;&gt;"",IF(N20&gt;P20,"○",IF(N20&lt;P20,"●","△")),"")</f>
        <v>#N/A</v>
      </c>
      <c r="P20" s="28" t="e">
        <f>VLOOKUP("後"&amp;$B17&amp;O$31,'２部南対戦表'!$R$1:$U$89,3,FALSE)</f>
        <v>#N/A</v>
      </c>
      <c r="Q20" s="29" t="s">
        <v>79</v>
      </c>
      <c r="R20" s="147"/>
      <c r="S20" s="148"/>
      <c r="T20" s="148"/>
      <c r="U20" s="148"/>
      <c r="V20" s="149"/>
      <c r="W20" s="27" t="s">
        <v>78</v>
      </c>
      <c r="X20" s="28" t="e">
        <f>VLOOKUP("後"&amp;$B17&amp;Y$31,'２部南対戦表'!$R$1:$U$89,2,FALSE)</f>
        <v>#N/A</v>
      </c>
      <c r="Y20" s="28" t="e">
        <f>IF(X20&lt;&gt;"",IF(X20&gt;Z20,"○",IF(X20&lt;Z20,"●","△")),"")</f>
        <v>#N/A</v>
      </c>
      <c r="Z20" s="28" t="e">
        <f>VLOOKUP("後"&amp;$B17&amp;Y$31,'２部南対戦表'!$R$1:$U$89,3,FALSE)</f>
        <v>#N/A</v>
      </c>
      <c r="AA20" s="29" t="s">
        <v>79</v>
      </c>
      <c r="AB20" s="27" t="s">
        <v>78</v>
      </c>
      <c r="AC20" s="28" t="e">
        <f>VLOOKUP("後"&amp;$B17&amp;AD$31,'２部南対戦表'!$R$1:$U$89,2,FALSE)</f>
        <v>#N/A</v>
      </c>
      <c r="AD20" s="28" t="e">
        <f>IF(AC20&lt;&gt;"",IF(AC20&gt;AE20,"○",IF(AC20&lt;AE20,"●","△")),"")</f>
        <v>#N/A</v>
      </c>
      <c r="AE20" s="28" t="e">
        <f>VLOOKUP("後"&amp;$B17&amp;AD$31,'２部南対戦表'!$R$1:$U$89,3,FALSE)</f>
        <v>#N/A</v>
      </c>
      <c r="AF20" s="28" t="s">
        <v>79</v>
      </c>
      <c r="AG20" s="154"/>
      <c r="AH20" s="183"/>
      <c r="AI20" s="183"/>
      <c r="AJ20" s="256"/>
      <c r="AK20" s="182"/>
      <c r="AL20" s="182"/>
      <c r="AM20" s="179"/>
      <c r="AN20" s="152"/>
      <c r="AR20" s="65" t="e">
        <f>SUM(AY17:BD17)+SUM(AY19:BD19)</f>
        <v>#N/A</v>
      </c>
      <c r="AS20" s="65" t="e">
        <f>SUM(AY18:BD18)+SUM(AY20:BD20)</f>
        <v>#N/A</v>
      </c>
      <c r="AT20" s="47" t="e">
        <f>+AR20-AS20</f>
        <v>#N/A</v>
      </c>
      <c r="AU20" s="21"/>
      <c r="AV20" s="21"/>
      <c r="AW20" s="21"/>
      <c r="AY20" s="54" t="e">
        <f>IF(F20&lt;&gt;"",F20,0)</f>
        <v>#N/A</v>
      </c>
      <c r="AZ20" s="54" t="e">
        <f>IF(K20&lt;&gt;"",K20,0)</f>
        <v>#N/A</v>
      </c>
      <c r="BA20" s="54" t="e">
        <f>IF(P20&lt;&gt;"",P20,0)</f>
        <v>#N/A</v>
      </c>
      <c r="BB20" s="54">
        <f>IF(U20&lt;&gt;"",U20,0)</f>
        <v>0</v>
      </c>
      <c r="BC20" s="54" t="e">
        <f>IF(Z20&lt;&gt;"",Z20,0)</f>
        <v>#N/A</v>
      </c>
      <c r="BD20" s="54" t="e">
        <f>IF(AE20&lt;&gt;"",AE20,0)</f>
        <v>#N/A</v>
      </c>
    </row>
    <row r="21" spans="2:56" ht="24" customHeight="1" thickBot="1">
      <c r="B21" s="3" t="s">
        <v>9</v>
      </c>
      <c r="C21" s="138">
        <f>VLOOKUP("前"&amp;$B21&amp;E$31,'２部南対戦表'!$R$1:$U$89,4,FALSE)</f>
        <v>40329</v>
      </c>
      <c r="D21" s="139"/>
      <c r="E21" s="139"/>
      <c r="F21" s="139"/>
      <c r="G21" s="140"/>
      <c r="H21" s="138">
        <f>VLOOKUP("前"&amp;$B21&amp;J$31,'２部南対戦表'!$R$1:$U$89,4,FALSE)</f>
        <v>40315</v>
      </c>
      <c r="I21" s="139"/>
      <c r="J21" s="139"/>
      <c r="K21" s="139"/>
      <c r="L21" s="140"/>
      <c r="M21" s="138">
        <f>VLOOKUP("前"&amp;$B21&amp;O$31,'２部南対戦表'!$R$1:$U$89,4,FALSE)</f>
        <v>40378</v>
      </c>
      <c r="N21" s="139"/>
      <c r="O21" s="139"/>
      <c r="P21" s="139"/>
      <c r="Q21" s="140"/>
      <c r="R21" s="138">
        <f>VLOOKUP("前"&amp;$B21&amp;T$31,'２部南対戦表'!$R$1:$U$89,4,FALSE)</f>
        <v>40371</v>
      </c>
      <c r="S21" s="139"/>
      <c r="T21" s="139"/>
      <c r="U21" s="139"/>
      <c r="V21" s="140"/>
      <c r="W21" s="141"/>
      <c r="X21" s="142"/>
      <c r="Y21" s="142"/>
      <c r="Z21" s="142"/>
      <c r="AA21" s="143"/>
      <c r="AB21" s="138">
        <f>VLOOKUP("前"&amp;$B21&amp;AD$31,'２部南対戦表'!$R$1:$U$89,4,FALSE)</f>
        <v>40356</v>
      </c>
      <c r="AC21" s="139"/>
      <c r="AD21" s="139"/>
      <c r="AE21" s="139"/>
      <c r="AF21" s="139"/>
      <c r="AG21" s="153">
        <f>IF(AND($AR22=0,$AS22=0,$AT22=0),"",AR22)</f>
      </c>
      <c r="AH21" s="169">
        <f>IF(AND($AR22=0,$AS22=0,$AT22=0),"",AS22)</f>
      </c>
      <c r="AI21" s="169">
        <f>IF(AND($AR22=0,$AS22=0,$AT22=0),"",AT22)</f>
      </c>
      <c r="AJ21" s="258">
        <f>IF(AND($AR22=0,$AS22=0,$AT22=0),"",AU22+AP22)</f>
      </c>
      <c r="AK21" s="165">
        <f>IF(AND($AR22=0,$AS22=0,$AT22=0),"",AR24)</f>
      </c>
      <c r="AL21" s="165">
        <f>IF(AND($AR22=0,$AS22=0,$AT22=0),"",AS24)</f>
      </c>
      <c r="AM21" s="174">
        <f>IF(AND($AR22=0,$AS22=0,$AT22=0),"",AT24)</f>
      </c>
      <c r="AN21" s="150">
        <f>IF(AND($AR22=0,$AS22=0,$AT22=0),"",RANK(AW23,AW$7:AW$27))</f>
      </c>
      <c r="AR21" s="57" t="s">
        <v>86</v>
      </c>
      <c r="AS21" s="57" t="s">
        <v>87</v>
      </c>
      <c r="AT21" s="57" t="s">
        <v>88</v>
      </c>
      <c r="AU21" s="57" t="s">
        <v>89</v>
      </c>
      <c r="AV21" s="20"/>
      <c r="AW21" s="20"/>
      <c r="AY21" s="52">
        <f>IF(D22&lt;&gt;"",D22,0)</f>
        <v>0</v>
      </c>
      <c r="AZ21" s="52">
        <f>IF(I22&lt;&gt;"",I22,0)</f>
        <v>0</v>
      </c>
      <c r="BA21" s="52">
        <f>IF(N22&lt;&gt;"",N22,0)</f>
        <v>0</v>
      </c>
      <c r="BB21" s="52">
        <f>IF(S22&lt;&gt;"",S22,0)</f>
        <v>0</v>
      </c>
      <c r="BC21" s="52">
        <f>IF(X22&lt;&gt;"",X22,0)</f>
        <v>0</v>
      </c>
      <c r="BD21" s="52">
        <f>IF(AC22&lt;&gt;"",AC22,0)</f>
        <v>0</v>
      </c>
    </row>
    <row r="22" spans="2:56" ht="24" customHeight="1">
      <c r="B22" s="244" t="str">
        <f>VLOOKUP(B21,'参加チーム'!$B$5:$F$73,IF($AG$3=1,3,4),FALSE)</f>
        <v>カメレオン</v>
      </c>
      <c r="C22" s="30" t="s">
        <v>78</v>
      </c>
      <c r="D22" s="31">
        <f>VLOOKUP("前"&amp;$B21&amp;E$31,'２部南対戦表'!$R$1:$U$89,2,FALSE)</f>
      </c>
      <c r="E22" s="31">
        <f>IF(D22&lt;&gt;"",IF(D22&gt;F22,"○",IF(D22&lt;F22,"●","△")),"")</f>
      </c>
      <c r="F22" s="31">
        <f>VLOOKUP("前"&amp;$B21&amp;E$31,'２部南対戦表'!$R$1:$U$89,3,FALSE)</f>
      </c>
      <c r="G22" s="32" t="s">
        <v>79</v>
      </c>
      <c r="H22" s="30" t="s">
        <v>78</v>
      </c>
      <c r="I22" s="31">
        <f>VLOOKUP("前"&amp;$B21&amp;J$31,'２部南対戦表'!$R$1:$U$89,2,FALSE)</f>
      </c>
      <c r="J22" s="31">
        <f>IF(I22&lt;&gt;"",IF(I22&gt;K22,"○",IF(I22&lt;K22,"●","△")),"")</f>
      </c>
      <c r="K22" s="31">
        <f>VLOOKUP("前"&amp;$B21&amp;J$31,'２部南対戦表'!$R$1:$U$89,3,FALSE)</f>
      </c>
      <c r="L22" s="32" t="s">
        <v>79</v>
      </c>
      <c r="M22" s="30" t="s">
        <v>78</v>
      </c>
      <c r="N22" s="31">
        <f>VLOOKUP("前"&amp;$B21&amp;O$31,'２部南対戦表'!$R$1:$U$89,2,FALSE)</f>
      </c>
      <c r="O22" s="31">
        <f>IF(N22&lt;&gt;"",IF(N22&gt;P22,"○",IF(N22&lt;P22,"●","△")),"")</f>
      </c>
      <c r="P22" s="31">
        <f>VLOOKUP("前"&amp;$B21&amp;O$31,'２部南対戦表'!$R$1:$U$89,3,FALSE)</f>
      </c>
      <c r="Q22" s="32" t="s">
        <v>79</v>
      </c>
      <c r="R22" s="30" t="s">
        <v>78</v>
      </c>
      <c r="S22" s="31">
        <f>VLOOKUP("前"&amp;$B21&amp;T$31,'２部南対戦表'!$R$1:$U$89,2,FALSE)</f>
      </c>
      <c r="T22" s="31">
        <f>IF(S22&lt;&gt;"",IF(S22&gt;U22,"○",IF(S22&lt;U22,"●","△")),"")</f>
      </c>
      <c r="U22" s="31">
        <f>VLOOKUP("前"&amp;$B21&amp;T$31,'２部南対戦表'!$R$1:$U$89,3,FALSE)</f>
      </c>
      <c r="V22" s="32" t="s">
        <v>79</v>
      </c>
      <c r="W22" s="144"/>
      <c r="X22" s="145"/>
      <c r="Y22" s="145"/>
      <c r="Z22" s="145"/>
      <c r="AA22" s="146"/>
      <c r="AB22" s="30" t="s">
        <v>78</v>
      </c>
      <c r="AC22" s="31">
        <f>VLOOKUP("前"&amp;$B21&amp;AD$31,'２部南対戦表'!$R$1:$U$89,2,FALSE)</f>
      </c>
      <c r="AD22" s="31">
        <f>IF(AC22&lt;&gt;"",IF(AC22&gt;AE22,"○",IF(AC22&lt;AE22,"●","△")),"")</f>
      </c>
      <c r="AE22" s="31">
        <f>VLOOKUP("前"&amp;$B21&amp;AD$31,'２部南対戦表'!$R$1:$U$89,3,FALSE)</f>
      </c>
      <c r="AF22" s="31" t="s">
        <v>79</v>
      </c>
      <c r="AG22" s="153"/>
      <c r="AH22" s="169"/>
      <c r="AI22" s="169"/>
      <c r="AJ22" s="255"/>
      <c r="AK22" s="165"/>
      <c r="AL22" s="165"/>
      <c r="AM22" s="174"/>
      <c r="AN22" s="151"/>
      <c r="AP22" s="158"/>
      <c r="AQ22" s="51"/>
      <c r="AR22" s="22">
        <f>COUNTIF($C21:$AF24,"○")</f>
        <v>0</v>
      </c>
      <c r="AS22" s="22">
        <f>COUNTIF($C21:$AF24,"△")</f>
        <v>0</v>
      </c>
      <c r="AT22" s="22">
        <f>COUNTIF($C21:$AF24,"●")</f>
        <v>0</v>
      </c>
      <c r="AU22" s="57">
        <f>AR22*3+AS22</f>
        <v>0</v>
      </c>
      <c r="AV22" s="20"/>
      <c r="AW22" s="20"/>
      <c r="AY22" s="53">
        <f>IF(F22&lt;&gt;"",F22,0)</f>
        <v>0</v>
      </c>
      <c r="AZ22" s="53">
        <f>IF(K22&lt;&gt;"",K22,0)</f>
        <v>0</v>
      </c>
      <c r="BA22" s="53">
        <f>IF(P22&lt;&gt;"",P22,0)</f>
        <v>0</v>
      </c>
      <c r="BB22" s="53">
        <f>IF(U22&lt;&gt;"",U22,0)</f>
        <v>0</v>
      </c>
      <c r="BC22" s="53">
        <f>IF(Z22&lt;&gt;"",Z22,0)</f>
        <v>0</v>
      </c>
      <c r="BD22" s="53">
        <f>IF(AE22&lt;&gt;"",AE22,0)</f>
        <v>0</v>
      </c>
    </row>
    <row r="23" spans="2:56" ht="24" customHeight="1" thickBot="1">
      <c r="B23" s="244"/>
      <c r="C23" s="135" t="e">
        <f>VLOOKUP("後"&amp;$B21&amp;E$31,'２部南対戦表'!$R$1:$U$89,4,FALSE)</f>
        <v>#N/A</v>
      </c>
      <c r="D23" s="136"/>
      <c r="E23" s="136"/>
      <c r="F23" s="136"/>
      <c r="G23" s="137"/>
      <c r="H23" s="135" t="e">
        <f>VLOOKUP("後"&amp;$B21&amp;J$31,'２部南対戦表'!$R$1:$U$89,4,FALSE)</f>
        <v>#N/A</v>
      </c>
      <c r="I23" s="136"/>
      <c r="J23" s="136"/>
      <c r="K23" s="136"/>
      <c r="L23" s="137"/>
      <c r="M23" s="135" t="e">
        <f>VLOOKUP("後"&amp;$B21&amp;O$31,'２部南対戦表'!$R$1:$U$89,4,FALSE)</f>
        <v>#N/A</v>
      </c>
      <c r="N23" s="136"/>
      <c r="O23" s="136"/>
      <c r="P23" s="136"/>
      <c r="Q23" s="137"/>
      <c r="R23" s="135" t="e">
        <f>VLOOKUP("後"&amp;$B21&amp;T$31,'２部南対戦表'!$R$1:$U$89,4,FALSE)</f>
        <v>#N/A</v>
      </c>
      <c r="S23" s="136"/>
      <c r="T23" s="136"/>
      <c r="U23" s="136"/>
      <c r="V23" s="137"/>
      <c r="W23" s="144"/>
      <c r="X23" s="145"/>
      <c r="Y23" s="145"/>
      <c r="Z23" s="145"/>
      <c r="AA23" s="146"/>
      <c r="AB23" s="184" t="e">
        <f>VLOOKUP("後"&amp;$B21&amp;AD$31,'２部南対戦表'!$R$1:$U$89,4,FALSE)</f>
        <v>#N/A</v>
      </c>
      <c r="AC23" s="185"/>
      <c r="AD23" s="185"/>
      <c r="AE23" s="185"/>
      <c r="AF23" s="185"/>
      <c r="AG23" s="153"/>
      <c r="AH23" s="169"/>
      <c r="AI23" s="169"/>
      <c r="AJ23" s="255"/>
      <c r="AK23" s="165"/>
      <c r="AL23" s="165"/>
      <c r="AM23" s="174"/>
      <c r="AN23" s="151"/>
      <c r="AP23" s="159"/>
      <c r="AQ23" s="51"/>
      <c r="AR23" s="65" t="s">
        <v>90</v>
      </c>
      <c r="AS23" s="65" t="s">
        <v>91</v>
      </c>
      <c r="AT23" s="65" t="s">
        <v>92</v>
      </c>
      <c r="AU23" s="21"/>
      <c r="AV23" s="21" t="s">
        <v>98</v>
      </c>
      <c r="AW23" s="55">
        <f>IF(AND(AR22=0,AS22=0,AT22=0),0,+AJ21*1000+AM21)</f>
        <v>0</v>
      </c>
      <c r="AY23" s="53" t="e">
        <f>IF(D24&lt;&gt;"",D24,0)</f>
        <v>#N/A</v>
      </c>
      <c r="AZ23" s="53" t="e">
        <f>IF(I24&lt;&gt;"",I24,0)</f>
        <v>#N/A</v>
      </c>
      <c r="BA23" s="53" t="e">
        <f>IF(N24&lt;&gt;"",N24,0)</f>
        <v>#N/A</v>
      </c>
      <c r="BB23" s="53" t="e">
        <f>IF(S24&lt;&gt;"",S24,0)</f>
        <v>#N/A</v>
      </c>
      <c r="BC23" s="53">
        <f>IF(X24&lt;&gt;"",X24,0)</f>
        <v>0</v>
      </c>
      <c r="BD23" s="53" t="e">
        <f>IF(AC24&lt;&gt;"",AC24,0)</f>
        <v>#N/A</v>
      </c>
    </row>
    <row r="24" spans="2:56" ht="24" customHeight="1">
      <c r="B24" s="245"/>
      <c r="C24" s="27" t="s">
        <v>78</v>
      </c>
      <c r="D24" s="28" t="e">
        <f>VLOOKUP("後"&amp;$B21&amp;E$31,'２部南対戦表'!$R$1:$U$89,2,FALSE)</f>
        <v>#N/A</v>
      </c>
      <c r="E24" s="28" t="e">
        <f>IF(D24&lt;&gt;"",IF(D24&gt;F24,"○",IF(D24&lt;F24,"●","△")),"")</f>
        <v>#N/A</v>
      </c>
      <c r="F24" s="28" t="e">
        <f>VLOOKUP("後"&amp;$B21&amp;E$31,'２部南対戦表'!$R$1:$U$89,3,FALSE)</f>
        <v>#N/A</v>
      </c>
      <c r="G24" s="29" t="s">
        <v>79</v>
      </c>
      <c r="H24" s="27" t="s">
        <v>78</v>
      </c>
      <c r="I24" s="28" t="e">
        <f>VLOOKUP("後"&amp;$B21&amp;J$31,'２部南対戦表'!$R$1:$U$89,2,FALSE)</f>
        <v>#N/A</v>
      </c>
      <c r="J24" s="28" t="e">
        <f>IF(I24&lt;&gt;"",IF(I24&gt;K24,"○",IF(I24&lt;K24,"●","△")),"")</f>
        <v>#N/A</v>
      </c>
      <c r="K24" s="28" t="e">
        <f>VLOOKUP("後"&amp;$B21&amp;J$31,'２部南対戦表'!$R$1:$U$89,3,FALSE)</f>
        <v>#N/A</v>
      </c>
      <c r="L24" s="29" t="s">
        <v>79</v>
      </c>
      <c r="M24" s="27" t="s">
        <v>78</v>
      </c>
      <c r="N24" s="28" t="e">
        <f>VLOOKUP("後"&amp;$B21&amp;O$31,'２部南対戦表'!$R$1:$U$89,2,FALSE)</f>
        <v>#N/A</v>
      </c>
      <c r="O24" s="28" t="e">
        <f>IF(N24&lt;&gt;"",IF(N24&gt;P24,"○",IF(N24&lt;P24,"●","△")),"")</f>
        <v>#N/A</v>
      </c>
      <c r="P24" s="28" t="e">
        <f>VLOOKUP("後"&amp;$B21&amp;O$31,'２部南対戦表'!$R$1:$U$89,3,FALSE)</f>
        <v>#N/A</v>
      </c>
      <c r="Q24" s="29" t="s">
        <v>79</v>
      </c>
      <c r="R24" s="27" t="s">
        <v>78</v>
      </c>
      <c r="S24" s="28" t="e">
        <f>VLOOKUP("後"&amp;$B21&amp;T$31,'２部南対戦表'!$R$1:$U$89,2,FALSE)</f>
        <v>#N/A</v>
      </c>
      <c r="T24" s="28" t="e">
        <f>IF(S24&lt;&gt;"",IF(S24&gt;U24,"○",IF(S24&lt;U24,"●","△")),"")</f>
        <v>#N/A</v>
      </c>
      <c r="U24" s="28" t="e">
        <f>VLOOKUP("後"&amp;$B21&amp;T$31,'２部南対戦表'!$R$1:$U$89,3,FALSE)</f>
        <v>#N/A</v>
      </c>
      <c r="V24" s="29" t="s">
        <v>79</v>
      </c>
      <c r="W24" s="147"/>
      <c r="X24" s="148"/>
      <c r="Y24" s="148"/>
      <c r="Z24" s="148"/>
      <c r="AA24" s="149"/>
      <c r="AB24" s="27" t="s">
        <v>78</v>
      </c>
      <c r="AC24" s="28" t="e">
        <f>VLOOKUP("後"&amp;$B21&amp;AD$31,'２部南対戦表'!$R$1:$U$89,2,FALSE)</f>
        <v>#N/A</v>
      </c>
      <c r="AD24" s="28" t="e">
        <f>IF(AC24&lt;&gt;"",IF(AC24&gt;AE24,"○",IF(AC24&lt;AE24,"●","△")),"")</f>
        <v>#N/A</v>
      </c>
      <c r="AE24" s="28" t="e">
        <f>VLOOKUP("後"&amp;$B21&amp;AD$31,'２部南対戦表'!$R$1:$U$89,3,FALSE)</f>
        <v>#N/A</v>
      </c>
      <c r="AF24" s="28" t="s">
        <v>79</v>
      </c>
      <c r="AG24" s="154"/>
      <c r="AH24" s="183"/>
      <c r="AI24" s="183"/>
      <c r="AJ24" s="256"/>
      <c r="AK24" s="165"/>
      <c r="AL24" s="165"/>
      <c r="AM24" s="174"/>
      <c r="AN24" s="152"/>
      <c r="AR24" s="65" t="e">
        <f>SUM(AY21:BD21)+SUM(AY23:BD23)</f>
        <v>#N/A</v>
      </c>
      <c r="AS24" s="65" t="e">
        <f>SUM(AY22:BD22)+SUM(AY24:BD24)</f>
        <v>#N/A</v>
      </c>
      <c r="AT24" s="47" t="e">
        <f>+AR24-AS24</f>
        <v>#N/A</v>
      </c>
      <c r="AU24" s="21"/>
      <c r="AV24" s="21"/>
      <c r="AW24" s="21"/>
      <c r="AY24" s="54" t="e">
        <f>IF(F24&lt;&gt;"",F24,0)</f>
        <v>#N/A</v>
      </c>
      <c r="AZ24" s="54" t="e">
        <f>IF(K24&lt;&gt;"",K24,0)</f>
        <v>#N/A</v>
      </c>
      <c r="BA24" s="54" t="e">
        <f>IF(P24&lt;&gt;"",P24,0)</f>
        <v>#N/A</v>
      </c>
      <c r="BB24" s="54" t="e">
        <f>IF(U24&lt;&gt;"",U24,0)</f>
        <v>#N/A</v>
      </c>
      <c r="BC24" s="54">
        <f>IF(Z24&lt;&gt;"",Z24,0)</f>
        <v>0</v>
      </c>
      <c r="BD24" s="54" t="e">
        <f>IF(AE24&lt;&gt;"",AE24,0)</f>
        <v>#N/A</v>
      </c>
    </row>
    <row r="25" spans="2:56" ht="24" customHeight="1" thickBot="1">
      <c r="B25" s="3" t="s">
        <v>10</v>
      </c>
      <c r="C25" s="138">
        <f>VLOOKUP("前"&amp;$B25&amp;E$31,'２部南対戦表'!$R$1:$U$89,4,FALSE)</f>
        <v>40315</v>
      </c>
      <c r="D25" s="139"/>
      <c r="E25" s="139"/>
      <c r="F25" s="139"/>
      <c r="G25" s="140"/>
      <c r="H25" s="138">
        <f>VLOOKUP("前"&amp;$B25&amp;J$31,'２部南対戦表'!$R$1:$U$89,4,FALSE)</f>
        <v>40371</v>
      </c>
      <c r="I25" s="139"/>
      <c r="J25" s="139"/>
      <c r="K25" s="139"/>
      <c r="L25" s="140"/>
      <c r="M25" s="138">
        <f>VLOOKUP("前"&amp;$B25&amp;O$31,'２部南対戦表'!$R$1:$U$89,4,FALSE)</f>
        <v>40329</v>
      </c>
      <c r="N25" s="139"/>
      <c r="O25" s="139"/>
      <c r="P25" s="139"/>
      <c r="Q25" s="140"/>
      <c r="R25" s="138">
        <f>VLOOKUP("前"&amp;$B25&amp;T$31,'２部南対戦表'!$R$1:$U$89,4,FALSE)</f>
        <v>40378</v>
      </c>
      <c r="S25" s="139"/>
      <c r="T25" s="139"/>
      <c r="U25" s="139"/>
      <c r="V25" s="140"/>
      <c r="W25" s="138">
        <f>VLOOKUP("前"&amp;$B25&amp;Y$31,'２部南対戦表'!$R$1:$U$89,4,FALSE)</f>
        <v>40356</v>
      </c>
      <c r="X25" s="139"/>
      <c r="Y25" s="139"/>
      <c r="Z25" s="139"/>
      <c r="AA25" s="140"/>
      <c r="AB25" s="141"/>
      <c r="AC25" s="142"/>
      <c r="AD25" s="142"/>
      <c r="AE25" s="142"/>
      <c r="AF25" s="160"/>
      <c r="AG25" s="153">
        <f>IF(AND($AR26=0,$AS26=0,$AT26=0),"",AR26)</f>
      </c>
      <c r="AH25" s="169">
        <f>IF(AND($AR26=0,$AS26=0,$AT26=0),"",AS26)</f>
      </c>
      <c r="AI25" s="169">
        <f>IF(AND($AR26=0,$AS26=0,$AT26=0),"",AT26)</f>
      </c>
      <c r="AJ25" s="258">
        <f>IF(AND($AR26=0,$AS26=0,$AT26=0),"",AU26+AP26)</f>
      </c>
      <c r="AK25" s="165">
        <f>IF(AND($AR26=0,$AS26=0,$AT26=0),"",AR28)</f>
      </c>
      <c r="AL25" s="165">
        <f>IF(AND($AR26=0,$AS26=0,$AT26=0),"",AS28)</f>
      </c>
      <c r="AM25" s="174">
        <f>IF(AND($AR26=0,$AS26=0,$AT26=0),"",AT28)</f>
      </c>
      <c r="AN25" s="150">
        <f>IF(AND($AR26=0,$AS26=0,$AT26=0),"",RANK(AW27,AW$7:AW$27))</f>
      </c>
      <c r="AR25" s="57" t="s">
        <v>86</v>
      </c>
      <c r="AS25" s="57" t="s">
        <v>87</v>
      </c>
      <c r="AT25" s="57" t="s">
        <v>88</v>
      </c>
      <c r="AU25" s="57" t="s">
        <v>89</v>
      </c>
      <c r="AV25" s="20"/>
      <c r="AW25" s="20"/>
      <c r="AY25" s="52">
        <f>IF(D26&lt;&gt;"",D26,0)</f>
        <v>0</v>
      </c>
      <c r="AZ25" s="52">
        <f>IF(I26&lt;&gt;"",I26,0)</f>
        <v>0</v>
      </c>
      <c r="BA25" s="52">
        <f>IF(N26&lt;&gt;"",N26,0)</f>
        <v>0</v>
      </c>
      <c r="BB25" s="52">
        <f>IF(S26&lt;&gt;"",S26,0)</f>
        <v>0</v>
      </c>
      <c r="BC25" s="52">
        <f>IF(X26&lt;&gt;"",X26,0)</f>
        <v>0</v>
      </c>
      <c r="BD25" s="52">
        <f>IF(AC26&lt;&gt;"",AC26,0)</f>
        <v>0</v>
      </c>
    </row>
    <row r="26" spans="2:56" ht="24" customHeight="1">
      <c r="B26" s="244" t="str">
        <f>VLOOKUP(B25,'参加チーム'!$B$5:$F$73,IF($AG$3=1,3,4),FALSE)</f>
        <v>Craque</v>
      </c>
      <c r="C26" s="30" t="s">
        <v>78</v>
      </c>
      <c r="D26" s="31">
        <f>VLOOKUP("前"&amp;$B25&amp;E$31,'２部南対戦表'!$R$1:$U$89,2,FALSE)</f>
      </c>
      <c r="E26" s="31">
        <f>IF(D26&lt;&gt;"",IF(D26&gt;F26,"○",IF(D26&lt;F26,"●","△")),"")</f>
      </c>
      <c r="F26" s="31">
        <f>VLOOKUP("前"&amp;$B25&amp;E$31,'２部南対戦表'!$R$1:$U$89,3,FALSE)</f>
      </c>
      <c r="G26" s="32" t="s">
        <v>79</v>
      </c>
      <c r="H26" s="30" t="s">
        <v>78</v>
      </c>
      <c r="I26" s="31">
        <f>VLOOKUP("前"&amp;$B25&amp;J$31,'２部南対戦表'!$R$1:$U$89,2,FALSE)</f>
      </c>
      <c r="J26" s="31">
        <f>IF(I26&lt;&gt;"",IF(I26&gt;K26,"○",IF(I26&lt;K26,"●","△")),"")</f>
      </c>
      <c r="K26" s="31">
        <f>VLOOKUP("前"&amp;$B25&amp;J$31,'２部南対戦表'!$R$1:$U$89,3,FALSE)</f>
      </c>
      <c r="L26" s="32" t="s">
        <v>79</v>
      </c>
      <c r="M26" s="30" t="s">
        <v>78</v>
      </c>
      <c r="N26" s="31">
        <f>VLOOKUP("前"&amp;$B25&amp;O$31,'２部南対戦表'!$R$1:$U$89,2,FALSE)</f>
      </c>
      <c r="O26" s="31">
        <f>IF(N26&lt;&gt;"",IF(N26&gt;P26,"○",IF(N26&lt;P26,"●","△")),"")</f>
      </c>
      <c r="P26" s="31">
        <f>VLOOKUP("前"&amp;$B25&amp;O$31,'２部南対戦表'!$R$1:$U$89,3,FALSE)</f>
      </c>
      <c r="Q26" s="32" t="s">
        <v>79</v>
      </c>
      <c r="R26" s="30" t="s">
        <v>78</v>
      </c>
      <c r="S26" s="31">
        <f>VLOOKUP("前"&amp;$B25&amp;T$31,'２部南対戦表'!$R$1:$U$89,2,FALSE)</f>
      </c>
      <c r="T26" s="31">
        <f>IF(S26&lt;&gt;"",IF(S26&gt;U26,"○",IF(S26&lt;U26,"●","△")),"")</f>
      </c>
      <c r="U26" s="31">
        <f>VLOOKUP("前"&amp;$B25&amp;T$31,'２部南対戦表'!$R$1:$U$89,3,FALSE)</f>
      </c>
      <c r="V26" s="32" t="s">
        <v>79</v>
      </c>
      <c r="W26" s="30" t="s">
        <v>78</v>
      </c>
      <c r="X26" s="31">
        <f>VLOOKUP("前"&amp;$B25&amp;Y$31,'２部南対戦表'!$R$1:$U$89,2,FALSE)</f>
      </c>
      <c r="Y26" s="31">
        <f>IF(X26&lt;&gt;"",IF(X26&gt;Z26,"○",IF(X26&lt;Z26,"●","△")),"")</f>
      </c>
      <c r="Z26" s="31">
        <f>VLOOKUP("前"&amp;$B25&amp;Y$31,'２部南対戦表'!$R$1:$U$89,3,FALSE)</f>
      </c>
      <c r="AA26" s="32" t="s">
        <v>79</v>
      </c>
      <c r="AB26" s="144"/>
      <c r="AC26" s="145"/>
      <c r="AD26" s="145"/>
      <c r="AE26" s="145"/>
      <c r="AF26" s="161"/>
      <c r="AG26" s="153"/>
      <c r="AH26" s="169"/>
      <c r="AI26" s="169"/>
      <c r="AJ26" s="255"/>
      <c r="AK26" s="165"/>
      <c r="AL26" s="165"/>
      <c r="AM26" s="174"/>
      <c r="AN26" s="151"/>
      <c r="AP26" s="158"/>
      <c r="AQ26" s="51"/>
      <c r="AR26" s="22">
        <f>COUNTIF($C25:$AF28,"○")</f>
        <v>0</v>
      </c>
      <c r="AS26" s="22">
        <f>COUNTIF($C25:$AF28,"△")</f>
        <v>0</v>
      </c>
      <c r="AT26" s="22">
        <f>COUNTIF($C25:$AF28,"●")</f>
        <v>0</v>
      </c>
      <c r="AU26" s="57">
        <f>AR26*3+AS26</f>
        <v>0</v>
      </c>
      <c r="AV26" s="20"/>
      <c r="AW26" s="20"/>
      <c r="AY26" s="53">
        <f>IF(F26&lt;&gt;"",F26,0)</f>
        <v>0</v>
      </c>
      <c r="AZ26" s="53">
        <f>IF(K26&lt;&gt;"",K26,0)</f>
        <v>0</v>
      </c>
      <c r="BA26" s="53">
        <f>IF(P26&lt;&gt;"",P26,0)</f>
        <v>0</v>
      </c>
      <c r="BB26" s="53">
        <f>IF(U26&lt;&gt;"",U26,0)</f>
        <v>0</v>
      </c>
      <c r="BC26" s="53">
        <f>IF(Z26&lt;&gt;"",Z26,0)</f>
        <v>0</v>
      </c>
      <c r="BD26" s="53">
        <f>IF(AE26&lt;&gt;"",AE26,0)</f>
        <v>0</v>
      </c>
    </row>
    <row r="27" spans="2:56" ht="24" customHeight="1" thickBot="1">
      <c r="B27" s="244"/>
      <c r="C27" s="135" t="e">
        <f>VLOOKUP("後"&amp;$B25&amp;E$31,'２部南対戦表'!$R$1:$U$89,4,FALSE)</f>
        <v>#N/A</v>
      </c>
      <c r="D27" s="136"/>
      <c r="E27" s="136"/>
      <c r="F27" s="136"/>
      <c r="G27" s="137"/>
      <c r="H27" s="135" t="e">
        <f>VLOOKUP("後"&amp;$B25&amp;J$31,'２部南対戦表'!$R$1:$U$89,4,FALSE)</f>
        <v>#N/A</v>
      </c>
      <c r="I27" s="136"/>
      <c r="J27" s="136"/>
      <c r="K27" s="136"/>
      <c r="L27" s="137"/>
      <c r="M27" s="135" t="e">
        <f>VLOOKUP("後"&amp;$B25&amp;O$31,'２部南対戦表'!$R$1:$U$89,4,FALSE)</f>
        <v>#N/A</v>
      </c>
      <c r="N27" s="136"/>
      <c r="O27" s="136"/>
      <c r="P27" s="136"/>
      <c r="Q27" s="137"/>
      <c r="R27" s="135" t="e">
        <f>VLOOKUP("後"&amp;$B25&amp;T$31,'２部南対戦表'!$R$1:$U$89,4,FALSE)</f>
        <v>#N/A</v>
      </c>
      <c r="S27" s="136"/>
      <c r="T27" s="136"/>
      <c r="U27" s="136"/>
      <c r="V27" s="137"/>
      <c r="W27" s="135" t="e">
        <f>VLOOKUP("後"&amp;$B25&amp;Y$31,'２部南対戦表'!$R$1:$U$89,4,FALSE)</f>
        <v>#N/A</v>
      </c>
      <c r="X27" s="136"/>
      <c r="Y27" s="136"/>
      <c r="Z27" s="136"/>
      <c r="AA27" s="137"/>
      <c r="AB27" s="144"/>
      <c r="AC27" s="145"/>
      <c r="AD27" s="145"/>
      <c r="AE27" s="145"/>
      <c r="AF27" s="161"/>
      <c r="AG27" s="153"/>
      <c r="AH27" s="169"/>
      <c r="AI27" s="169"/>
      <c r="AJ27" s="255"/>
      <c r="AK27" s="165"/>
      <c r="AL27" s="165"/>
      <c r="AM27" s="174"/>
      <c r="AN27" s="151"/>
      <c r="AP27" s="159"/>
      <c r="AQ27" s="51"/>
      <c r="AR27" s="65" t="s">
        <v>90</v>
      </c>
      <c r="AS27" s="65" t="s">
        <v>91</v>
      </c>
      <c r="AT27" s="65" t="s">
        <v>92</v>
      </c>
      <c r="AU27" s="21"/>
      <c r="AV27" s="21" t="s">
        <v>98</v>
      </c>
      <c r="AW27" s="55">
        <f>IF(AND(AR26=0,AS26=0,AT26=0),0,+AJ25*1000+AM25)</f>
        <v>0</v>
      </c>
      <c r="AY27" s="53" t="e">
        <f>IF(D28&lt;&gt;"",D28,0)</f>
        <v>#N/A</v>
      </c>
      <c r="AZ27" s="53" t="e">
        <f>IF(I28&lt;&gt;"",I28,0)</f>
        <v>#N/A</v>
      </c>
      <c r="BA27" s="53" t="e">
        <f>IF(N28&lt;&gt;"",N28,0)</f>
        <v>#N/A</v>
      </c>
      <c r="BB27" s="53" t="e">
        <f>IF(S28&lt;&gt;"",S28,0)</f>
        <v>#N/A</v>
      </c>
      <c r="BC27" s="53" t="e">
        <f>IF(X28&lt;&gt;"",X28,0)</f>
        <v>#N/A</v>
      </c>
      <c r="BD27" s="53">
        <f>IF(AC28&lt;&gt;"",AC28,0)</f>
        <v>0</v>
      </c>
    </row>
    <row r="28" spans="2:56" ht="24" customHeight="1" thickBot="1">
      <c r="B28" s="246"/>
      <c r="C28" s="34" t="s">
        <v>78</v>
      </c>
      <c r="D28" s="35" t="e">
        <f>VLOOKUP("後"&amp;$B25&amp;E$31,'２部南対戦表'!$R$1:$U$89,2,FALSE)</f>
        <v>#N/A</v>
      </c>
      <c r="E28" s="35" t="e">
        <f>IF(D28&lt;&gt;"",IF(D28&gt;F28,"○",IF(D28&lt;F28,"●","△")),"")</f>
        <v>#N/A</v>
      </c>
      <c r="F28" s="35" t="e">
        <f>VLOOKUP("後"&amp;$B25&amp;E$31,'２部南対戦表'!$R$1:$U$89,3,FALSE)</f>
        <v>#N/A</v>
      </c>
      <c r="G28" s="36" t="s">
        <v>79</v>
      </c>
      <c r="H28" s="34" t="s">
        <v>78</v>
      </c>
      <c r="I28" s="35" t="e">
        <f>VLOOKUP("後"&amp;$B25&amp;J$31,'２部南対戦表'!$R$1:$U$89,2,FALSE)</f>
        <v>#N/A</v>
      </c>
      <c r="J28" s="35" t="e">
        <f>IF(I28&lt;&gt;"",IF(I28&gt;K28,"○",IF(I28&lt;K28,"●","△")),"")</f>
        <v>#N/A</v>
      </c>
      <c r="K28" s="35" t="e">
        <f>VLOOKUP("後"&amp;$B25&amp;J$31,'２部南対戦表'!$R$1:$U$89,3,FALSE)</f>
        <v>#N/A</v>
      </c>
      <c r="L28" s="36" t="s">
        <v>79</v>
      </c>
      <c r="M28" s="34" t="s">
        <v>78</v>
      </c>
      <c r="N28" s="35" t="e">
        <f>VLOOKUP("後"&amp;$B25&amp;O$31,'２部南対戦表'!$R$1:$U$89,2,FALSE)</f>
        <v>#N/A</v>
      </c>
      <c r="O28" s="35" t="e">
        <f>IF(N28&lt;&gt;"",IF(N28&gt;P28,"○",IF(N28&lt;P28,"●","△")),"")</f>
        <v>#N/A</v>
      </c>
      <c r="P28" s="35" t="e">
        <f>VLOOKUP("後"&amp;$B25&amp;O$31,'２部南対戦表'!$R$1:$U$89,3,FALSE)</f>
        <v>#N/A</v>
      </c>
      <c r="Q28" s="36" t="s">
        <v>79</v>
      </c>
      <c r="R28" s="34" t="s">
        <v>78</v>
      </c>
      <c r="S28" s="35" t="e">
        <f>VLOOKUP("後"&amp;$B25&amp;T$31,'２部南対戦表'!$R$1:$U$89,2,FALSE)</f>
        <v>#N/A</v>
      </c>
      <c r="T28" s="35" t="e">
        <f>IF(S28&lt;&gt;"",IF(S28&gt;U28,"○",IF(S28&lt;U28,"●","△")),"")</f>
        <v>#N/A</v>
      </c>
      <c r="U28" s="35" t="e">
        <f>VLOOKUP("後"&amp;$B25&amp;T$31,'２部南対戦表'!$R$1:$U$89,3,FALSE)</f>
        <v>#N/A</v>
      </c>
      <c r="V28" s="36" t="s">
        <v>79</v>
      </c>
      <c r="W28" s="34" t="s">
        <v>78</v>
      </c>
      <c r="X28" s="35" t="e">
        <f>VLOOKUP("後"&amp;$B25&amp;Y$31,'２部南対戦表'!$R$1:$U$89,2,FALSE)</f>
        <v>#N/A</v>
      </c>
      <c r="Y28" s="35" t="e">
        <f>IF(X28&lt;&gt;"",IF(X28&gt;Z28,"○",IF(X28&lt;Z28,"●","△")),"")</f>
        <v>#N/A</v>
      </c>
      <c r="Z28" s="35" t="e">
        <f>VLOOKUP("後"&amp;$B25&amp;Y$31,'２部南対戦表'!$R$1:$U$89,3,FALSE)</f>
        <v>#N/A</v>
      </c>
      <c r="AA28" s="36" t="s">
        <v>79</v>
      </c>
      <c r="AB28" s="162"/>
      <c r="AC28" s="163"/>
      <c r="AD28" s="163"/>
      <c r="AE28" s="163"/>
      <c r="AF28" s="164"/>
      <c r="AG28" s="168"/>
      <c r="AH28" s="170"/>
      <c r="AI28" s="170"/>
      <c r="AJ28" s="259"/>
      <c r="AK28" s="166"/>
      <c r="AL28" s="166"/>
      <c r="AM28" s="176"/>
      <c r="AN28" s="167"/>
      <c r="AR28" s="65" t="e">
        <f>SUM(AY25:BD25)+SUM(AY27:BD27)</f>
        <v>#N/A</v>
      </c>
      <c r="AS28" s="65" t="e">
        <f>SUM(AY26:BD26)+SUM(AY28:BD28)</f>
        <v>#N/A</v>
      </c>
      <c r="AT28" s="47" t="e">
        <f>+AR28-AS28</f>
        <v>#N/A</v>
      </c>
      <c r="AU28" s="21"/>
      <c r="AV28" s="21"/>
      <c r="AW28" s="21"/>
      <c r="AY28" s="54" t="e">
        <f>IF(F28&lt;&gt;"",F28,0)</f>
        <v>#N/A</v>
      </c>
      <c r="AZ28" s="54" t="e">
        <f>IF(K28&lt;&gt;"",K28,0)</f>
        <v>#N/A</v>
      </c>
      <c r="BA28" s="54" t="e">
        <f>IF(P28&lt;&gt;"",P28,0)</f>
        <v>#N/A</v>
      </c>
      <c r="BB28" s="54" t="e">
        <f>IF(U28&lt;&gt;"",U28,0)</f>
        <v>#N/A</v>
      </c>
      <c r="BC28" s="54" t="e">
        <f>IF(Z28&lt;&gt;"",Z28,0)</f>
        <v>#N/A</v>
      </c>
      <c r="BD28" s="54">
        <f>IF(AE28&lt;&gt;"",AE28,0)</f>
        <v>0</v>
      </c>
    </row>
    <row r="29" ht="30" customHeight="1">
      <c r="B29" s="14"/>
    </row>
    <row r="31" spans="2:40" ht="14.25">
      <c r="B31" s="11"/>
      <c r="C31" s="12"/>
      <c r="D31" s="12"/>
      <c r="E31" s="12" t="str">
        <f>+B5</f>
        <v>南Ａ</v>
      </c>
      <c r="F31" s="12"/>
      <c r="G31" s="12"/>
      <c r="H31" s="12"/>
      <c r="I31" s="12"/>
      <c r="J31" s="12" t="str">
        <f>+B9</f>
        <v>南Ｂ</v>
      </c>
      <c r="K31" s="12"/>
      <c r="L31" s="12"/>
      <c r="M31" s="12"/>
      <c r="N31" s="12"/>
      <c r="O31" s="12" t="str">
        <f>+B13</f>
        <v>南Ｃ</v>
      </c>
      <c r="P31" s="12"/>
      <c r="Q31" s="12"/>
      <c r="R31" s="12"/>
      <c r="S31" s="12"/>
      <c r="T31" s="12" t="str">
        <f>+B17</f>
        <v>南Ｄ</v>
      </c>
      <c r="U31" s="12"/>
      <c r="V31" s="12"/>
      <c r="W31" s="12"/>
      <c r="X31" s="12"/>
      <c r="Y31" s="12" t="str">
        <f>+B21</f>
        <v>南Ｅ</v>
      </c>
      <c r="Z31" s="12"/>
      <c r="AA31" s="12"/>
      <c r="AB31" s="12"/>
      <c r="AC31" s="12"/>
      <c r="AD31" s="12" t="str">
        <f>+B25</f>
        <v>南Ｆ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3"/>
    </row>
    <row r="33" spans="2:7" ht="17.25">
      <c r="B33" s="3" t="s">
        <v>10</v>
      </c>
      <c r="C33" s="138">
        <f>VLOOKUP("前"&amp;$B33&amp;E$31,'２部南対戦表'!$R$1:$U$89,4,FALSE)</f>
        <v>40315</v>
      </c>
      <c r="D33" s="139"/>
      <c r="E33" s="139"/>
      <c r="F33" s="139"/>
      <c r="G33" s="140"/>
    </row>
    <row r="34" spans="2:7" ht="17.25">
      <c r="B34" s="244" t="str">
        <f>VLOOKUP(B33,'参加チーム'!$B$5:$F$73,3,FALSE)</f>
        <v>Craque</v>
      </c>
      <c r="C34" s="30" t="s">
        <v>78</v>
      </c>
      <c r="D34" s="31">
        <f>VLOOKUP("前"&amp;$B33&amp;E$31,'２部南対戦表'!$R$1:$U$89,2,FALSE)</f>
      </c>
      <c r="E34" s="31">
        <f>IF(D34&lt;&gt;"",IF(D34&gt;F34,"○",IF(D34&lt;F34,"●","△")),"")</f>
      </c>
      <c r="F34" s="31">
        <f>VLOOKUP("前"&amp;$B33&amp;E$31,'２部南対戦表'!$R$1:$U$89,3,FALSE)</f>
      </c>
      <c r="G34" s="32" t="s">
        <v>79</v>
      </c>
    </row>
    <row r="35" spans="2:26" ht="17.25">
      <c r="B35" s="244"/>
      <c r="C35" s="135" t="e">
        <f>VLOOKUP("後"&amp;$B33&amp;E$31,'２部南対戦表'!$R$1:$U$89,4,FALSE)</f>
        <v>#N/A</v>
      </c>
      <c r="D35" s="136"/>
      <c r="E35" s="136"/>
      <c r="F35" s="136"/>
      <c r="G35" s="137"/>
      <c r="Z35" t="s">
        <v>109</v>
      </c>
    </row>
    <row r="36" spans="2:33" ht="18" thickBot="1">
      <c r="B36" s="246"/>
      <c r="C36" s="34" t="s">
        <v>78</v>
      </c>
      <c r="D36" s="35" t="e">
        <f>VLOOKUP("後"&amp;$B33&amp;E$31,'２部南対戦表'!$R$1:$U$89,2,FALSE)</f>
        <v>#N/A</v>
      </c>
      <c r="E36" s="35" t="e">
        <f>IF(D36&lt;&gt;"",IF(D36&gt;F36,"○",IF(D36&lt;F36,"●","△")),"")</f>
        <v>#N/A</v>
      </c>
      <c r="F36" s="35" t="e">
        <f>VLOOKUP("後"&amp;$B33&amp;E$31,'２部南対戦表'!$R$1:$U$89,3,FALSE)</f>
        <v>#N/A</v>
      </c>
      <c r="G36" s="36" t="s">
        <v>79</v>
      </c>
      <c r="AB36" t="s">
        <v>110</v>
      </c>
      <c r="AG36" t="s">
        <v>111</v>
      </c>
    </row>
    <row r="37" spans="26:33" ht="14.25">
      <c r="Z37" s="248" t="s">
        <v>42</v>
      </c>
      <c r="AA37" s="248" t="s">
        <v>42</v>
      </c>
      <c r="AB37" s="248" t="str">
        <f>VLOOKUP(Z37,'参加チーム'!$B$5:$F$73,3,FALSE)</f>
        <v>Zoorasia</v>
      </c>
      <c r="AC37" s="248"/>
      <c r="AD37" s="248"/>
      <c r="AE37" s="248"/>
      <c r="AF37" s="248"/>
      <c r="AG37">
        <v>0</v>
      </c>
    </row>
    <row r="38" spans="26:33" ht="14.25">
      <c r="Z38" s="248" t="s">
        <v>104</v>
      </c>
      <c r="AA38" s="248" t="s">
        <v>42</v>
      </c>
      <c r="AB38" s="248" t="str">
        <f>VLOOKUP(Z38,'参加チーム'!$B$5:$F$73,3,FALSE)</f>
        <v>アトレチコ</v>
      </c>
      <c r="AC38" s="248"/>
      <c r="AD38" s="248"/>
      <c r="AE38" s="248"/>
      <c r="AF38" s="248"/>
      <c r="AG38">
        <v>0</v>
      </c>
    </row>
    <row r="39" spans="26:33" ht="14.25">
      <c r="Z39" s="248" t="s">
        <v>105</v>
      </c>
      <c r="AA39" s="248" t="s">
        <v>42</v>
      </c>
      <c r="AB39" s="248" t="str">
        <f>VLOOKUP(Z39,'参加チーム'!$B$5:$F$73,3,FALSE)</f>
        <v>azul</v>
      </c>
      <c r="AC39" s="248"/>
      <c r="AD39" s="248"/>
      <c r="AE39" s="248"/>
      <c r="AF39" s="248"/>
      <c r="AG39">
        <v>0</v>
      </c>
    </row>
    <row r="40" spans="26:33" ht="14.25">
      <c r="Z40" s="248" t="s">
        <v>106</v>
      </c>
      <c r="AA40" s="248" t="s">
        <v>42</v>
      </c>
      <c r="AB40" s="248" t="str">
        <f>VLOOKUP(Z40,'参加チーム'!$B$5:$F$73,3,FALSE)</f>
        <v>ULTIMO</v>
      </c>
      <c r="AC40" s="248"/>
      <c r="AD40" s="248"/>
      <c r="AE40" s="248"/>
      <c r="AF40" s="248"/>
      <c r="AG40">
        <v>0</v>
      </c>
    </row>
    <row r="41" spans="26:33" ht="14.25">
      <c r="Z41" s="248" t="s">
        <v>107</v>
      </c>
      <c r="AA41" s="248" t="s">
        <v>42</v>
      </c>
      <c r="AB41" s="248" t="str">
        <f>VLOOKUP(Z41,'参加チーム'!$B$5:$F$73,3,FALSE)</f>
        <v>カメレオン</v>
      </c>
      <c r="AC41" s="248"/>
      <c r="AD41" s="248"/>
      <c r="AE41" s="248"/>
      <c r="AF41" s="248"/>
      <c r="AG41">
        <v>0</v>
      </c>
    </row>
    <row r="42" spans="26:33" ht="14.25">
      <c r="Z42" s="248" t="s">
        <v>108</v>
      </c>
      <c r="AA42" s="248" t="s">
        <v>42</v>
      </c>
      <c r="AB42" s="248" t="str">
        <f>VLOOKUP(Z42,'参加チーム'!$B$5:$F$73,3,FALSE)</f>
        <v>Craque</v>
      </c>
      <c r="AC42" s="248"/>
      <c r="AD42" s="248"/>
      <c r="AE42" s="248"/>
      <c r="AF42" s="248"/>
      <c r="AG42">
        <v>0</v>
      </c>
    </row>
  </sheetData>
  <sheetProtection/>
  <mergeCells count="147">
    <mergeCell ref="C9:G9"/>
    <mergeCell ref="C13:G13"/>
    <mergeCell ref="M19:Q19"/>
    <mergeCell ref="AG21:AG24"/>
    <mergeCell ref="M21:Q21"/>
    <mergeCell ref="H21:L21"/>
    <mergeCell ref="C15:G15"/>
    <mergeCell ref="AB9:AF9"/>
    <mergeCell ref="AB11:AF11"/>
    <mergeCell ref="W11:AA11"/>
    <mergeCell ref="AH25:AH28"/>
    <mergeCell ref="AI21:AI24"/>
    <mergeCell ref="AJ21:AJ24"/>
    <mergeCell ref="AH21:AH24"/>
    <mergeCell ref="AG17:AG20"/>
    <mergeCell ref="AH17:AH20"/>
    <mergeCell ref="AI17:AI20"/>
    <mergeCell ref="AG25:AG28"/>
    <mergeCell ref="AJ17:AJ20"/>
    <mergeCell ref="AI25:AI28"/>
    <mergeCell ref="AK21:AK24"/>
    <mergeCell ref="AL21:AL24"/>
    <mergeCell ref="AM21:AM24"/>
    <mergeCell ref="AK25:AK28"/>
    <mergeCell ref="AK17:AK20"/>
    <mergeCell ref="AL25:AL28"/>
    <mergeCell ref="AJ25:AJ28"/>
    <mergeCell ref="AL13:AL16"/>
    <mergeCell ref="AM5:AM8"/>
    <mergeCell ref="AM13:AM16"/>
    <mergeCell ref="AL17:AL20"/>
    <mergeCell ref="AL9:AL12"/>
    <mergeCell ref="AM17:AM20"/>
    <mergeCell ref="AK13:AK16"/>
    <mergeCell ref="AJ13:AJ16"/>
    <mergeCell ref="AM25:AM28"/>
    <mergeCell ref="B26:B28"/>
    <mergeCell ref="R17:V20"/>
    <mergeCell ref="B18:B20"/>
    <mergeCell ref="M17:Q17"/>
    <mergeCell ref="R25:V25"/>
    <mergeCell ref="R27:V27"/>
    <mergeCell ref="C27:G27"/>
    <mergeCell ref="H25:L25"/>
    <mergeCell ref="H27:L27"/>
    <mergeCell ref="H19:L19"/>
    <mergeCell ref="B22:B24"/>
    <mergeCell ref="C17:G17"/>
    <mergeCell ref="C19:G19"/>
    <mergeCell ref="H15:L15"/>
    <mergeCell ref="H17:L17"/>
    <mergeCell ref="H23:L23"/>
    <mergeCell ref="C21:G21"/>
    <mergeCell ref="M27:Q27"/>
    <mergeCell ref="C23:G23"/>
    <mergeCell ref="M25:Q25"/>
    <mergeCell ref="C25:G25"/>
    <mergeCell ref="M23:Q23"/>
    <mergeCell ref="R5:V5"/>
    <mergeCell ref="R9:V9"/>
    <mergeCell ref="R7:V7"/>
    <mergeCell ref="M9:Q9"/>
    <mergeCell ref="M11:Q11"/>
    <mergeCell ref="AH5:AH8"/>
    <mergeCell ref="AG9:AG12"/>
    <mergeCell ref="AH9:AH12"/>
    <mergeCell ref="AG5:AG8"/>
    <mergeCell ref="AH13:AH16"/>
    <mergeCell ref="AM9:AM12"/>
    <mergeCell ref="AI5:AI8"/>
    <mergeCell ref="AJ5:AJ8"/>
    <mergeCell ref="AK5:AK8"/>
    <mergeCell ref="AL5:AL8"/>
    <mergeCell ref="W9:AA9"/>
    <mergeCell ref="AG13:AG16"/>
    <mergeCell ref="AK9:AK12"/>
    <mergeCell ref="AB15:AF15"/>
    <mergeCell ref="AB13:AF13"/>
    <mergeCell ref="AI13:AI16"/>
    <mergeCell ref="AI9:AI12"/>
    <mergeCell ref="AJ9:AJ12"/>
    <mergeCell ref="H13:L13"/>
    <mergeCell ref="W17:AA17"/>
    <mergeCell ref="R13:V13"/>
    <mergeCell ref="R21:V21"/>
    <mergeCell ref="R23:V23"/>
    <mergeCell ref="B10:B12"/>
    <mergeCell ref="M13:Q16"/>
    <mergeCell ref="B14:B16"/>
    <mergeCell ref="R15:V15"/>
    <mergeCell ref="R11:V11"/>
    <mergeCell ref="C11:G11"/>
    <mergeCell ref="H9:L12"/>
    <mergeCell ref="Z38:AA38"/>
    <mergeCell ref="AB38:AF38"/>
    <mergeCell ref="W21:AA24"/>
    <mergeCell ref="AB37:AF37"/>
    <mergeCell ref="Z37:AA37"/>
    <mergeCell ref="W27:AA27"/>
    <mergeCell ref="AB21:AF21"/>
    <mergeCell ref="AB25:AF28"/>
    <mergeCell ref="AB23:AF23"/>
    <mergeCell ref="W25:AA25"/>
    <mergeCell ref="W4:AA4"/>
    <mergeCell ref="W5:AA5"/>
    <mergeCell ref="W7:AA7"/>
    <mergeCell ref="AB19:AF19"/>
    <mergeCell ref="W19:AA19"/>
    <mergeCell ref="AB17:AF17"/>
    <mergeCell ref="W13:AA13"/>
    <mergeCell ref="W15:AA15"/>
    <mergeCell ref="C33:G33"/>
    <mergeCell ref="B34:B36"/>
    <mergeCell ref="C35:G35"/>
    <mergeCell ref="AB4:AF4"/>
    <mergeCell ref="C5:G8"/>
    <mergeCell ref="AB5:AF5"/>
    <mergeCell ref="AB7:AF7"/>
    <mergeCell ref="H5:L5"/>
    <mergeCell ref="H7:L7"/>
    <mergeCell ref="R4:V4"/>
    <mergeCell ref="B6:B8"/>
    <mergeCell ref="C4:G4"/>
    <mergeCell ref="H4:L4"/>
    <mergeCell ref="M4:Q4"/>
    <mergeCell ref="M7:Q7"/>
    <mergeCell ref="M5:Q5"/>
    <mergeCell ref="AP26:AP27"/>
    <mergeCell ref="AB42:AF42"/>
    <mergeCell ref="Z39:AA39"/>
    <mergeCell ref="AB39:AF39"/>
    <mergeCell ref="Z40:AA40"/>
    <mergeCell ref="AB40:AF40"/>
    <mergeCell ref="Z41:AA41"/>
    <mergeCell ref="AB41:AF41"/>
    <mergeCell ref="Z42:AA42"/>
    <mergeCell ref="AN25:AN28"/>
    <mergeCell ref="AN21:AN24"/>
    <mergeCell ref="AP6:AP7"/>
    <mergeCell ref="AP10:AP11"/>
    <mergeCell ref="AP14:AP15"/>
    <mergeCell ref="AP18:AP19"/>
    <mergeCell ref="AP22:AP23"/>
    <mergeCell ref="AN5:AN8"/>
    <mergeCell ref="AN13:AN16"/>
    <mergeCell ref="AN17:AN20"/>
    <mergeCell ref="AN9:AN12"/>
  </mergeCells>
  <printOptions horizontalCentered="1" verticalCentered="1"/>
  <pageMargins left="0.3937007874015748" right="0.3937007874015748" top="0.3937007874015748" bottom="0.3937007874015748" header="0.3937007874015748" footer="0.3937007874015748"/>
  <pageSetup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67"/>
  <sheetViews>
    <sheetView view="pageBreakPreview" zoomScale="70" zoomScaleNormal="75" zoomScaleSheetLayoutView="70" zoomScalePageLayoutView="0" workbookViewId="0" topLeftCell="A1">
      <pane ySplit="1" topLeftCell="A2" activePane="bottomLeft" state="frozen"/>
      <selection pane="topLeft" activeCell="AC19" sqref="AC19"/>
      <selection pane="bottomLeft" activeCell="M31" sqref="M31"/>
    </sheetView>
  </sheetViews>
  <sheetFormatPr defaultColWidth="8.796875" defaultRowHeight="15"/>
  <cols>
    <col min="1" max="1" width="9" style="88" customWidth="1"/>
    <col min="2" max="2" width="9.5" style="88" bestFit="1" customWidth="1"/>
    <col min="3" max="3" width="14.09765625" style="88" customWidth="1"/>
    <col min="4" max="4" width="4.59765625" style="88" customWidth="1"/>
    <col min="5" max="5" width="7.3984375" style="88" customWidth="1"/>
    <col min="6" max="6" width="4.69921875" style="88" customWidth="1"/>
    <col min="7" max="7" width="14.59765625" style="88" customWidth="1"/>
    <col min="8" max="12" width="3.59765625" style="88" customWidth="1"/>
    <col min="13" max="13" width="4.69921875" style="88" customWidth="1"/>
    <col min="14" max="14" width="14.59765625" style="88" customWidth="1"/>
    <col min="15" max="16" width="12.59765625" style="88" customWidth="1"/>
    <col min="17" max="17" width="3.8984375" style="88" customWidth="1"/>
    <col min="18" max="18" width="11.19921875" style="88" hidden="1" customWidth="1"/>
    <col min="19" max="20" width="5.19921875" style="88" hidden="1" customWidth="1"/>
    <col min="21" max="21" width="9.5" style="88" hidden="1" customWidth="1"/>
    <col min="22" max="16384" width="9" style="88" customWidth="1"/>
  </cols>
  <sheetData>
    <row r="1" spans="1:19" ht="28.5" customHeight="1">
      <c r="A1" s="86" t="s">
        <v>242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R1" s="89" t="s">
        <v>82</v>
      </c>
      <c r="S1" s="90"/>
    </row>
    <row r="2" spans="1:19" ht="28.5" customHeight="1" thickBot="1">
      <c r="A2" s="91" t="s">
        <v>93</v>
      </c>
      <c r="M2" s="67">
        <f>+'１部'!$AQ$3</f>
        <v>1</v>
      </c>
      <c r="N2" s="68" t="str">
        <f>IF(M2=1,"略称表示","日本語略称表示")&amp;"（１部成績表からリンク）"</f>
        <v>略称表示（１部成績表からリンク）</v>
      </c>
      <c r="O2" s="314"/>
      <c r="P2" s="314"/>
      <c r="R2" s="89"/>
      <c r="S2" s="90"/>
    </row>
    <row r="3" spans="1:19" ht="25.5" customHeight="1" thickBot="1">
      <c r="A3" s="94"/>
      <c r="B3" s="16" t="s">
        <v>45</v>
      </c>
      <c r="C3" s="16" t="s">
        <v>46</v>
      </c>
      <c r="D3" s="16" t="s">
        <v>95</v>
      </c>
      <c r="E3" s="16" t="s">
        <v>47</v>
      </c>
      <c r="F3" s="17"/>
      <c r="G3" s="18" t="s">
        <v>96</v>
      </c>
      <c r="H3" s="216" t="s">
        <v>48</v>
      </c>
      <c r="I3" s="216"/>
      <c r="J3" s="216"/>
      <c r="K3" s="216"/>
      <c r="L3" s="216"/>
      <c r="M3" s="17"/>
      <c r="N3" s="18" t="s">
        <v>97</v>
      </c>
      <c r="O3" s="16" t="s">
        <v>241</v>
      </c>
      <c r="P3" s="19" t="s">
        <v>44</v>
      </c>
      <c r="R3" s="90"/>
      <c r="S3" s="90"/>
    </row>
    <row r="4" spans="1:21" ht="14.25">
      <c r="A4" s="225">
        <v>1</v>
      </c>
      <c r="B4" s="315">
        <v>40315</v>
      </c>
      <c r="C4" s="316" t="s">
        <v>81</v>
      </c>
      <c r="D4" s="233">
        <v>1</v>
      </c>
      <c r="E4" s="217">
        <v>0.4375</v>
      </c>
      <c r="F4" s="76" t="s">
        <v>100</v>
      </c>
      <c r="G4" s="210" t="str">
        <f>VLOOKUP($F4,'参加チーム'!$B$5:$F$73,IF($M$2=1,3,4),FALSE)</f>
        <v>azul</v>
      </c>
      <c r="H4" s="201">
        <f>IF(I4&lt;&gt;"",I4+I5,"")</f>
      </c>
      <c r="I4" s="77"/>
      <c r="J4" s="215" t="s">
        <v>80</v>
      </c>
      <c r="K4" s="77"/>
      <c r="L4" s="201">
        <f>IF(K4&lt;&gt;"",K4+K5,"")</f>
      </c>
      <c r="M4" s="76" t="s">
        <v>169</v>
      </c>
      <c r="N4" s="210" t="str">
        <f>VLOOKUP($M4,'参加チーム'!$B$5:$F$73,IF($M$2=1,3,4),FALSE)</f>
        <v>ULTIMO</v>
      </c>
      <c r="O4" s="211" t="str">
        <f>+N4</f>
        <v>ULTIMO</v>
      </c>
      <c r="P4" s="317" t="str">
        <f>+N4</f>
        <v>ULTIMO</v>
      </c>
      <c r="R4" s="96" t="str">
        <f>+"前"&amp;F4&amp;M4</f>
        <v>前南Ｃ南Ｄ</v>
      </c>
      <c r="S4" s="97">
        <f>IF(H4&lt;&gt;"",H4,"")</f>
      </c>
      <c r="T4" s="97">
        <f>IF(L4&lt;&gt;"",L4,"")</f>
      </c>
      <c r="U4" s="98">
        <f>+B4</f>
        <v>40315</v>
      </c>
    </row>
    <row r="5" spans="1:21" ht="14.25">
      <c r="A5" s="226"/>
      <c r="B5" s="239"/>
      <c r="C5" s="318"/>
      <c r="D5" s="220"/>
      <c r="E5" s="202"/>
      <c r="F5" s="78" t="str">
        <f>LEFT(VLOOKUP(F4,'参加チーム'!$B$5:$F$73,5,FALSE),2)</f>
        <v>宮城</v>
      </c>
      <c r="G5" s="209"/>
      <c r="H5" s="202"/>
      <c r="I5" s="79"/>
      <c r="J5" s="205"/>
      <c r="K5" s="79"/>
      <c r="L5" s="202"/>
      <c r="M5" s="78" t="str">
        <f>LEFT(VLOOKUP(M4,'参加チーム'!$B$5:$F$73,5,FALSE),2)</f>
        <v>宮城</v>
      </c>
      <c r="N5" s="209"/>
      <c r="O5" s="199"/>
      <c r="P5" s="319"/>
      <c r="R5" s="99" t="str">
        <f>+"前"&amp;M4&amp;F4</f>
        <v>前南Ｄ南Ｃ</v>
      </c>
      <c r="S5" s="90">
        <f>IF(L4&lt;&gt;"",L4,"")</f>
      </c>
      <c r="T5" s="90">
        <f>IF(H4&lt;&gt;"",H4,"")</f>
      </c>
      <c r="U5" s="100">
        <f>+B4</f>
        <v>40315</v>
      </c>
    </row>
    <row r="6" spans="1:21" ht="14.25">
      <c r="A6" s="226"/>
      <c r="B6" s="239"/>
      <c r="C6" s="318"/>
      <c r="D6" s="219">
        <v>2</v>
      </c>
      <c r="E6" s="214">
        <v>0.513888888888889</v>
      </c>
      <c r="F6" s="80" t="s">
        <v>172</v>
      </c>
      <c r="G6" s="208" t="str">
        <f>VLOOKUP($F6,'参加チーム'!$B$5:$F$73,IF($M$2=1,3,4),FALSE)</f>
        <v>アトレチコ</v>
      </c>
      <c r="H6" s="203">
        <f>IF(I6&lt;&gt;"",I6+I7,"")</f>
      </c>
      <c r="I6" s="79"/>
      <c r="J6" s="204" t="s">
        <v>80</v>
      </c>
      <c r="K6" s="79"/>
      <c r="L6" s="203">
        <f>IF(K6&lt;&gt;"",K6+K7,"")</f>
      </c>
      <c r="M6" s="80" t="s">
        <v>170</v>
      </c>
      <c r="N6" s="208" t="str">
        <f>VLOOKUP($M6,'参加チーム'!$B$5:$F$73,IF($M$2=1,3,4),FALSE)</f>
        <v>カメレオン</v>
      </c>
      <c r="O6" s="198" t="str">
        <f>+N6</f>
        <v>カメレオン</v>
      </c>
      <c r="P6" s="319"/>
      <c r="R6" s="99" t="str">
        <f>+"前"&amp;F6&amp;M6</f>
        <v>前南Ｂ南Ｅ</v>
      </c>
      <c r="S6" s="90">
        <f>+H6</f>
      </c>
      <c r="T6" s="90">
        <f>+L6</f>
      </c>
      <c r="U6" s="100">
        <f>+B4</f>
        <v>40315</v>
      </c>
    </row>
    <row r="7" spans="1:21" ht="14.25">
      <c r="A7" s="226"/>
      <c r="B7" s="239"/>
      <c r="C7" s="320" t="s">
        <v>221</v>
      </c>
      <c r="D7" s="220"/>
      <c r="E7" s="202"/>
      <c r="F7" s="78" t="str">
        <f>LEFT(VLOOKUP(F6,'参加チーム'!$B$5:$F$73,5,FALSE),2)</f>
        <v>福島</v>
      </c>
      <c r="G7" s="209"/>
      <c r="H7" s="202"/>
      <c r="I7" s="79"/>
      <c r="J7" s="205"/>
      <c r="K7" s="79"/>
      <c r="L7" s="202"/>
      <c r="M7" s="78" t="str">
        <f>LEFT(VLOOKUP(M6,'参加チーム'!$B$5:$F$73,5,FALSE),2)</f>
        <v>山形</v>
      </c>
      <c r="N7" s="209"/>
      <c r="O7" s="199"/>
      <c r="P7" s="319"/>
      <c r="R7" s="99" t="str">
        <f>+"前"&amp;M6&amp;F6</f>
        <v>前南Ｅ南Ｂ</v>
      </c>
      <c r="S7" s="90">
        <f>+L6</f>
      </c>
      <c r="T7" s="90">
        <f>+H6</f>
      </c>
      <c r="U7" s="100">
        <f>+B4</f>
        <v>40315</v>
      </c>
    </row>
    <row r="8" spans="1:21" ht="14.25">
      <c r="A8" s="226"/>
      <c r="B8" s="239"/>
      <c r="C8" s="321"/>
      <c r="D8" s="219">
        <v>3</v>
      </c>
      <c r="E8" s="214">
        <v>0.5902777777777778</v>
      </c>
      <c r="F8" s="80" t="s">
        <v>99</v>
      </c>
      <c r="G8" s="208" t="str">
        <f>VLOOKUP($F8,'参加チーム'!$B$5:$F$73,IF($M$2=1,3,4),FALSE)</f>
        <v>Zoorasia</v>
      </c>
      <c r="H8" s="203">
        <f>IF(I8&lt;&gt;"",I8+I9,"")</f>
      </c>
      <c r="I8" s="79"/>
      <c r="J8" s="204" t="s">
        <v>80</v>
      </c>
      <c r="K8" s="79"/>
      <c r="L8" s="203">
        <f>IF(K8&lt;&gt;"",K8+K9,"")</f>
      </c>
      <c r="M8" s="80" t="s">
        <v>171</v>
      </c>
      <c r="N8" s="208" t="str">
        <f>VLOOKUP($M8,'参加チーム'!$B$5:$F$73,IF($M$2=1,3,4),FALSE)</f>
        <v>Craque</v>
      </c>
      <c r="O8" s="198" t="str">
        <f>+N8</f>
        <v>Craque</v>
      </c>
      <c r="P8" s="319"/>
      <c r="R8" s="99" t="str">
        <f>+"前"&amp;F8&amp;M8</f>
        <v>前南Ａ南Ｆ</v>
      </c>
      <c r="S8" s="90">
        <f>+H8</f>
      </c>
      <c r="T8" s="90">
        <f>+L8</f>
      </c>
      <c r="U8" s="100">
        <f>+B4</f>
        <v>40315</v>
      </c>
    </row>
    <row r="9" spans="1:21" ht="15" thickBot="1">
      <c r="A9" s="227"/>
      <c r="B9" s="240"/>
      <c r="C9" s="322"/>
      <c r="D9" s="221"/>
      <c r="E9" s="212"/>
      <c r="F9" s="81" t="str">
        <f>LEFT(VLOOKUP(F8,'参加チーム'!$B$5:$F$73,5,FALSE),2)</f>
        <v>宮城</v>
      </c>
      <c r="G9" s="207"/>
      <c r="H9" s="212"/>
      <c r="I9" s="82"/>
      <c r="J9" s="213"/>
      <c r="K9" s="82"/>
      <c r="L9" s="212"/>
      <c r="M9" s="81" t="str">
        <f>LEFT(VLOOKUP(M8,'参加チーム'!$B$5:$F$73,5,FALSE),2)</f>
        <v>山形</v>
      </c>
      <c r="N9" s="207"/>
      <c r="O9" s="200"/>
      <c r="P9" s="323"/>
      <c r="R9" s="102" t="str">
        <f>+"前"&amp;M8&amp;F8</f>
        <v>前南Ｆ南Ａ</v>
      </c>
      <c r="S9" s="103">
        <f>+L8</f>
      </c>
      <c r="T9" s="103">
        <f>+H8</f>
      </c>
      <c r="U9" s="104">
        <f>+B4</f>
        <v>40315</v>
      </c>
    </row>
    <row r="10" spans="1:21" ht="14.25">
      <c r="A10" s="225">
        <v>2</v>
      </c>
      <c r="B10" s="315">
        <v>40329</v>
      </c>
      <c r="C10" s="316" t="s">
        <v>52</v>
      </c>
      <c r="D10" s="233">
        <v>1</v>
      </c>
      <c r="E10" s="217">
        <v>0.4375</v>
      </c>
      <c r="F10" s="76" t="s">
        <v>170</v>
      </c>
      <c r="G10" s="210" t="str">
        <f>VLOOKUP($F10,'参加チーム'!$B$5:$F$73,IF($M$2=1,3,4),FALSE)</f>
        <v>カメレオン</v>
      </c>
      <c r="H10" s="201">
        <f>IF(I10&lt;&gt;"",I10+I11,"")</f>
      </c>
      <c r="I10" s="77"/>
      <c r="J10" s="215" t="s">
        <v>80</v>
      </c>
      <c r="K10" s="77"/>
      <c r="L10" s="201">
        <f>IF(K10&lt;&gt;"",K10+K11,"")</f>
      </c>
      <c r="M10" s="76" t="s">
        <v>99</v>
      </c>
      <c r="N10" s="210" t="str">
        <f>VLOOKUP($M10,'参加チーム'!$B$5:$F$73,IF($M$2=1,3,4),FALSE)</f>
        <v>Zoorasia</v>
      </c>
      <c r="O10" s="211" t="str">
        <f>+N10</f>
        <v>Zoorasia</v>
      </c>
      <c r="P10" s="317" t="str">
        <f>+G10</f>
        <v>カメレオン</v>
      </c>
      <c r="R10" s="96" t="str">
        <f>+"前"&amp;F10&amp;M10</f>
        <v>前南Ｅ南Ａ</v>
      </c>
      <c r="S10" s="97">
        <f>IF(H10&lt;&gt;"",H10,"")</f>
      </c>
      <c r="T10" s="97">
        <f>IF(L10&lt;&gt;"",L10,"")</f>
      </c>
      <c r="U10" s="98">
        <f>+B10</f>
        <v>40329</v>
      </c>
    </row>
    <row r="11" spans="1:21" ht="14.25">
      <c r="A11" s="226"/>
      <c r="B11" s="239"/>
      <c r="C11" s="318"/>
      <c r="D11" s="220"/>
      <c r="E11" s="202"/>
      <c r="F11" s="78" t="str">
        <f>LEFT(VLOOKUP(F10,'参加チーム'!$B$5:$F$73,5,FALSE),2)</f>
        <v>山形</v>
      </c>
      <c r="G11" s="209"/>
      <c r="H11" s="202"/>
      <c r="I11" s="79"/>
      <c r="J11" s="205"/>
      <c r="K11" s="79"/>
      <c r="L11" s="202"/>
      <c r="M11" s="78" t="str">
        <f>LEFT(VLOOKUP(M10,'参加チーム'!$B$5:$F$73,5,FALSE),2)</f>
        <v>宮城</v>
      </c>
      <c r="N11" s="209"/>
      <c r="O11" s="199"/>
      <c r="P11" s="319"/>
      <c r="R11" s="99" t="str">
        <f>+"前"&amp;M10&amp;F10</f>
        <v>前南Ａ南Ｅ</v>
      </c>
      <c r="S11" s="90">
        <f>IF(L10&lt;&gt;"",L10,"")</f>
      </c>
      <c r="T11" s="90">
        <f>IF(H10&lt;&gt;"",H10,"")</f>
      </c>
      <c r="U11" s="100">
        <f>+B10</f>
        <v>40329</v>
      </c>
    </row>
    <row r="12" spans="1:21" ht="14.25">
      <c r="A12" s="226"/>
      <c r="B12" s="239"/>
      <c r="C12" s="318"/>
      <c r="D12" s="219">
        <v>2</v>
      </c>
      <c r="E12" s="214">
        <v>0.513888888888889</v>
      </c>
      <c r="F12" s="80" t="s">
        <v>169</v>
      </c>
      <c r="G12" s="208" t="str">
        <f>VLOOKUP($F12,'参加チーム'!$B$5:$F$73,IF($M$2=1,3,4),FALSE)</f>
        <v>ULTIMO</v>
      </c>
      <c r="H12" s="203">
        <f>IF(I12&lt;&gt;"",I12+I13,"")</f>
      </c>
      <c r="I12" s="79"/>
      <c r="J12" s="204" t="s">
        <v>80</v>
      </c>
      <c r="K12" s="79"/>
      <c r="L12" s="203">
        <f>IF(K12&lt;&gt;"",K12+K13,"")</f>
      </c>
      <c r="M12" s="80" t="s">
        <v>172</v>
      </c>
      <c r="N12" s="208" t="str">
        <f>VLOOKUP($M12,'参加チーム'!$B$5:$F$73,IF($M$2=1,3,4),FALSE)</f>
        <v>アトレチコ</v>
      </c>
      <c r="O12" s="198" t="str">
        <f>+N12</f>
        <v>アトレチコ</v>
      </c>
      <c r="P12" s="319"/>
      <c r="R12" s="99" t="str">
        <f>+"前"&amp;F12&amp;M12</f>
        <v>前南Ｄ南Ｂ</v>
      </c>
      <c r="S12" s="90">
        <f>IF(H12&lt;&gt;"",H12,"")</f>
      </c>
      <c r="T12" s="90">
        <f>IF(L12&lt;&gt;"",L12,"")</f>
      </c>
      <c r="U12" s="100">
        <f>+B10</f>
        <v>40329</v>
      </c>
    </row>
    <row r="13" spans="1:21" ht="14.25">
      <c r="A13" s="226"/>
      <c r="B13" s="239"/>
      <c r="C13" s="238" t="s">
        <v>158</v>
      </c>
      <c r="D13" s="220"/>
      <c r="E13" s="202"/>
      <c r="F13" s="78" t="str">
        <f>LEFT(VLOOKUP(F12,'参加チーム'!$B$5:$F$73,5,FALSE),2)</f>
        <v>宮城</v>
      </c>
      <c r="G13" s="209"/>
      <c r="H13" s="202"/>
      <c r="I13" s="79"/>
      <c r="J13" s="205"/>
      <c r="K13" s="79"/>
      <c r="L13" s="202"/>
      <c r="M13" s="78" t="str">
        <f>LEFT(VLOOKUP(M12,'参加チーム'!$B$5:$F$73,5,FALSE),2)</f>
        <v>福島</v>
      </c>
      <c r="N13" s="209"/>
      <c r="O13" s="199"/>
      <c r="P13" s="319"/>
      <c r="R13" s="99" t="str">
        <f>+"前"&amp;M12&amp;F12</f>
        <v>前南Ｂ南Ｄ</v>
      </c>
      <c r="S13" s="90">
        <f>IF(L12&lt;&gt;"",L12,"")</f>
      </c>
      <c r="T13" s="90">
        <f>IF(H12&lt;&gt;"",H12,"")</f>
      </c>
      <c r="U13" s="100">
        <f>+B10</f>
        <v>40329</v>
      </c>
    </row>
    <row r="14" spans="1:21" ht="14.25">
      <c r="A14" s="226"/>
      <c r="B14" s="239"/>
      <c r="C14" s="324"/>
      <c r="D14" s="219">
        <v>3</v>
      </c>
      <c r="E14" s="214">
        <v>0.5902777777777778</v>
      </c>
      <c r="F14" s="80" t="s">
        <v>171</v>
      </c>
      <c r="G14" s="208" t="str">
        <f>VLOOKUP($F14,'参加チーム'!$B$5:$F$73,IF($M$2=1,3,4),FALSE)</f>
        <v>Craque</v>
      </c>
      <c r="H14" s="203">
        <f>IF(I14&lt;&gt;"",I14+I15,"")</f>
      </c>
      <c r="I14" s="79"/>
      <c r="J14" s="204" t="s">
        <v>80</v>
      </c>
      <c r="K14" s="79"/>
      <c r="L14" s="203">
        <f>IF(K14&lt;&gt;"",K14+K15,"")</f>
      </c>
      <c r="M14" s="80" t="s">
        <v>100</v>
      </c>
      <c r="N14" s="208" t="str">
        <f>VLOOKUP($M14,'参加チーム'!$B$5:$F$73,IF($M$2=1,3,4),FALSE)</f>
        <v>azul</v>
      </c>
      <c r="O14" s="198" t="str">
        <f>+N14</f>
        <v>azul</v>
      </c>
      <c r="P14" s="319"/>
      <c r="R14" s="99" t="str">
        <f>+"前"&amp;F14&amp;M14</f>
        <v>前南Ｆ南Ｃ</v>
      </c>
      <c r="S14" s="90">
        <f>IF(H14&lt;&gt;"",H14,"")</f>
      </c>
      <c r="T14" s="90">
        <f>IF(L14&lt;&gt;"",L14,"")</f>
      </c>
      <c r="U14" s="100">
        <f>+B10</f>
        <v>40329</v>
      </c>
    </row>
    <row r="15" spans="1:21" ht="15" thickBot="1">
      <c r="A15" s="227"/>
      <c r="B15" s="240"/>
      <c r="C15" s="325"/>
      <c r="D15" s="221"/>
      <c r="E15" s="212"/>
      <c r="F15" s="81" t="str">
        <f>LEFT(VLOOKUP(F14,'参加チーム'!$B$5:$F$73,5,FALSE),2)</f>
        <v>山形</v>
      </c>
      <c r="G15" s="207"/>
      <c r="H15" s="212"/>
      <c r="I15" s="82"/>
      <c r="J15" s="213"/>
      <c r="K15" s="82"/>
      <c r="L15" s="212"/>
      <c r="M15" s="81" t="str">
        <f>LEFT(VLOOKUP(M14,'参加チーム'!$B$5:$F$73,5,FALSE),2)</f>
        <v>宮城</v>
      </c>
      <c r="N15" s="207"/>
      <c r="O15" s="200"/>
      <c r="P15" s="323"/>
      <c r="R15" s="102" t="str">
        <f>+"前"&amp;M14&amp;F14</f>
        <v>前南Ｃ南Ｆ</v>
      </c>
      <c r="S15" s="103">
        <f>IF(L14&lt;&gt;"",L14,"")</f>
      </c>
      <c r="T15" s="103">
        <f>IF(H14&lt;&gt;"",H14,"")</f>
      </c>
      <c r="U15" s="104">
        <f>+B10</f>
        <v>40329</v>
      </c>
    </row>
    <row r="16" spans="1:21" ht="14.25" customHeight="1">
      <c r="A16" s="225">
        <v>3</v>
      </c>
      <c r="B16" s="315">
        <v>40356</v>
      </c>
      <c r="C16" s="316" t="s">
        <v>81</v>
      </c>
      <c r="D16" s="233">
        <v>1</v>
      </c>
      <c r="E16" s="217">
        <v>0.4375</v>
      </c>
      <c r="F16" s="76" t="s">
        <v>100</v>
      </c>
      <c r="G16" s="210" t="str">
        <f>VLOOKUP($F16,'参加チーム'!$B$5:$F$73,IF($M$2=1,3,4),FALSE)</f>
        <v>azul</v>
      </c>
      <c r="H16" s="201">
        <f>IF(I16&lt;&gt;"",I16+I17,"")</f>
      </c>
      <c r="I16" s="77"/>
      <c r="J16" s="215" t="s">
        <v>80</v>
      </c>
      <c r="K16" s="77"/>
      <c r="L16" s="201">
        <f>IF(K16&lt;&gt;"",K16+K17,"")</f>
      </c>
      <c r="M16" s="76" t="s">
        <v>172</v>
      </c>
      <c r="N16" s="210" t="str">
        <f>VLOOKUP($M16,'参加チーム'!$B$5:$F$73,IF($M$2=1,3,4),FALSE)</f>
        <v>アトレチコ</v>
      </c>
      <c r="O16" s="211" t="str">
        <f>+N16</f>
        <v>アトレチコ</v>
      </c>
      <c r="P16" s="317" t="str">
        <f>+G16</f>
        <v>azul</v>
      </c>
      <c r="R16" s="96" t="str">
        <f>+"前"&amp;F16&amp;M16</f>
        <v>前南Ｃ南Ｂ</v>
      </c>
      <c r="S16" s="97">
        <f>IF(H16&lt;&gt;"",H16,"")</f>
      </c>
      <c r="T16" s="97">
        <f>IF(L16&lt;&gt;"",L16,"")</f>
      </c>
      <c r="U16" s="98">
        <f>+B16</f>
        <v>40356</v>
      </c>
    </row>
    <row r="17" spans="1:21" ht="14.25" customHeight="1">
      <c r="A17" s="226"/>
      <c r="B17" s="239"/>
      <c r="C17" s="318"/>
      <c r="D17" s="220"/>
      <c r="E17" s="202"/>
      <c r="F17" s="78" t="str">
        <f>LEFT(VLOOKUP(F16,'参加チーム'!$B$5:$F$73,5,FALSE),2)</f>
        <v>宮城</v>
      </c>
      <c r="G17" s="209"/>
      <c r="H17" s="202"/>
      <c r="I17" s="79"/>
      <c r="J17" s="205"/>
      <c r="K17" s="79"/>
      <c r="L17" s="202"/>
      <c r="M17" s="78" t="str">
        <f>LEFT(VLOOKUP(M16,'参加チーム'!$B$5:$F$73,5,FALSE),2)</f>
        <v>福島</v>
      </c>
      <c r="N17" s="209"/>
      <c r="O17" s="199"/>
      <c r="P17" s="319"/>
      <c r="R17" s="99" t="str">
        <f>+"前"&amp;M16&amp;F16</f>
        <v>前南Ｂ南Ｃ</v>
      </c>
      <c r="S17" s="90">
        <f>IF(L16&lt;&gt;"",L16,"")</f>
      </c>
      <c r="T17" s="90">
        <f>IF(H16&lt;&gt;"",H16,"")</f>
      </c>
      <c r="U17" s="100">
        <f>+B16</f>
        <v>40356</v>
      </c>
    </row>
    <row r="18" spans="1:21" ht="14.25" customHeight="1">
      <c r="A18" s="226"/>
      <c r="B18" s="239"/>
      <c r="C18" s="318"/>
      <c r="D18" s="219">
        <v>2</v>
      </c>
      <c r="E18" s="214">
        <v>0.513888888888889</v>
      </c>
      <c r="F18" s="80" t="s">
        <v>171</v>
      </c>
      <c r="G18" s="208" t="str">
        <f>VLOOKUP($F18,'参加チーム'!$B$5:$F$73,IF($M$2=1,3,4),FALSE)</f>
        <v>Craque</v>
      </c>
      <c r="H18" s="203">
        <f>IF(I18&lt;&gt;"",I18+I19,"")</f>
      </c>
      <c r="I18" s="79"/>
      <c r="J18" s="204" t="s">
        <v>80</v>
      </c>
      <c r="K18" s="79"/>
      <c r="L18" s="203">
        <f>IF(K18&lt;&gt;"",K18+K19,"")</f>
      </c>
      <c r="M18" s="80" t="s">
        <v>170</v>
      </c>
      <c r="N18" s="208" t="str">
        <f>VLOOKUP($M18,'参加チーム'!$B$5:$F$73,IF($M$2=1,3,4),FALSE)</f>
        <v>カメレオン</v>
      </c>
      <c r="O18" s="198" t="str">
        <f>+N18</f>
        <v>カメレオン</v>
      </c>
      <c r="P18" s="319"/>
      <c r="R18" s="99" t="str">
        <f>+"前"&amp;F18&amp;M18</f>
        <v>前南Ｆ南Ｅ</v>
      </c>
      <c r="S18" s="90">
        <f>IF(H18&lt;&gt;"",H18,"")</f>
      </c>
      <c r="T18" s="90">
        <f>IF(L18&lt;&gt;"",L18,"")</f>
      </c>
      <c r="U18" s="100">
        <f>+B16</f>
        <v>40356</v>
      </c>
    </row>
    <row r="19" spans="1:21" ht="14.25" customHeight="1">
      <c r="A19" s="226"/>
      <c r="B19" s="239"/>
      <c r="C19" s="320" t="s">
        <v>221</v>
      </c>
      <c r="D19" s="220"/>
      <c r="E19" s="202"/>
      <c r="F19" s="78" t="str">
        <f>LEFT(VLOOKUP(F18,'参加チーム'!$B$5:$F$73,5,FALSE),2)</f>
        <v>山形</v>
      </c>
      <c r="G19" s="209"/>
      <c r="H19" s="202"/>
      <c r="I19" s="79"/>
      <c r="J19" s="205"/>
      <c r="K19" s="79"/>
      <c r="L19" s="202"/>
      <c r="M19" s="78" t="str">
        <f>LEFT(VLOOKUP(M18,'参加チーム'!$B$5:$F$73,5,FALSE),2)</f>
        <v>山形</v>
      </c>
      <c r="N19" s="209"/>
      <c r="O19" s="199"/>
      <c r="P19" s="319"/>
      <c r="R19" s="99" t="str">
        <f>+"前"&amp;M18&amp;F18</f>
        <v>前南Ｅ南Ｆ</v>
      </c>
      <c r="S19" s="90">
        <f>IF(L18&lt;&gt;"",L18,"")</f>
      </c>
      <c r="T19" s="90">
        <f>IF(H18&lt;&gt;"",H18,"")</f>
      </c>
      <c r="U19" s="100">
        <f>+B16</f>
        <v>40356</v>
      </c>
    </row>
    <row r="20" spans="1:21" ht="14.25" customHeight="1">
      <c r="A20" s="226"/>
      <c r="B20" s="239"/>
      <c r="C20" s="321"/>
      <c r="D20" s="219">
        <v>3</v>
      </c>
      <c r="E20" s="214">
        <v>0.5902777777777778</v>
      </c>
      <c r="F20" s="80" t="s">
        <v>99</v>
      </c>
      <c r="G20" s="208" t="str">
        <f>VLOOKUP($F20,'参加チーム'!$B$5:$F$73,IF($M$2=1,3,4),FALSE)</f>
        <v>Zoorasia</v>
      </c>
      <c r="H20" s="203">
        <f>IF(I20&lt;&gt;"",I20+I21,"")</f>
      </c>
      <c r="I20" s="79"/>
      <c r="J20" s="204" t="s">
        <v>80</v>
      </c>
      <c r="K20" s="79"/>
      <c r="L20" s="203">
        <f>IF(K20&lt;&gt;"",K20+K21,"")</f>
      </c>
      <c r="M20" s="80" t="s">
        <v>169</v>
      </c>
      <c r="N20" s="208" t="str">
        <f>VLOOKUP($M20,'参加チーム'!$B$5:$F$73,IF($M$2=1,3,4),FALSE)</f>
        <v>ULTIMO</v>
      </c>
      <c r="O20" s="198" t="str">
        <f>+N20</f>
        <v>ULTIMO</v>
      </c>
      <c r="P20" s="319"/>
      <c r="R20" s="99" t="str">
        <f>+"前"&amp;F20&amp;M20</f>
        <v>前南Ａ南Ｄ</v>
      </c>
      <c r="S20" s="90">
        <f>IF(H20&lt;&gt;"",H20,"")</f>
      </c>
      <c r="T20" s="90">
        <f>IF(L20&lt;&gt;"",L20,"")</f>
      </c>
      <c r="U20" s="100">
        <f>+B16</f>
        <v>40356</v>
      </c>
    </row>
    <row r="21" spans="1:21" ht="15" customHeight="1" thickBot="1">
      <c r="A21" s="227"/>
      <c r="B21" s="240"/>
      <c r="C21" s="322"/>
      <c r="D21" s="221"/>
      <c r="E21" s="212"/>
      <c r="F21" s="81" t="str">
        <f>LEFT(VLOOKUP(F20,'参加チーム'!$B$5:$F$73,5,FALSE),2)</f>
        <v>宮城</v>
      </c>
      <c r="G21" s="207"/>
      <c r="H21" s="212"/>
      <c r="I21" s="82"/>
      <c r="J21" s="213"/>
      <c r="K21" s="82"/>
      <c r="L21" s="212"/>
      <c r="M21" s="81" t="str">
        <f>LEFT(VLOOKUP(M20,'参加チーム'!$B$5:$F$73,5,FALSE),2)</f>
        <v>宮城</v>
      </c>
      <c r="N21" s="207"/>
      <c r="O21" s="200"/>
      <c r="P21" s="323"/>
      <c r="R21" s="102" t="str">
        <f>+"前"&amp;M20&amp;F20</f>
        <v>前南Ｄ南Ａ</v>
      </c>
      <c r="S21" s="103">
        <f>IF(L20&lt;&gt;"",L20,"")</f>
      </c>
      <c r="T21" s="103">
        <f>IF(H20&lt;&gt;"",H20,"")</f>
      </c>
      <c r="U21" s="104">
        <f>+B16</f>
        <v>40356</v>
      </c>
    </row>
    <row r="22" spans="1:21" ht="14.25" customHeight="1">
      <c r="A22" s="225">
        <v>4</v>
      </c>
      <c r="B22" s="315">
        <v>40371</v>
      </c>
      <c r="C22" s="316" t="s">
        <v>52</v>
      </c>
      <c r="D22" s="233">
        <v>1</v>
      </c>
      <c r="E22" s="217">
        <v>0.4375</v>
      </c>
      <c r="F22" s="76" t="s">
        <v>172</v>
      </c>
      <c r="G22" s="210" t="str">
        <f>VLOOKUP($F22,'参加チーム'!$B$5:$F$73,IF($M$2=1,3,4),FALSE)</f>
        <v>アトレチコ</v>
      </c>
      <c r="H22" s="201">
        <f>IF(I22&lt;&gt;"",I22+I23,"")</f>
      </c>
      <c r="I22" s="77"/>
      <c r="J22" s="215" t="s">
        <v>80</v>
      </c>
      <c r="K22" s="77"/>
      <c r="L22" s="201">
        <f>IF(K22&lt;&gt;"",K22+K23,"")</f>
      </c>
      <c r="M22" s="76" t="s">
        <v>171</v>
      </c>
      <c r="N22" s="210" t="str">
        <f>VLOOKUP($M22,'参加チーム'!$B$5:$F$73,IF($M$2=1,3,4),FALSE)</f>
        <v>Craque</v>
      </c>
      <c r="O22" s="211" t="str">
        <f>+N22</f>
        <v>Craque</v>
      </c>
      <c r="P22" s="317" t="str">
        <f>+N22</f>
        <v>Craque</v>
      </c>
      <c r="R22" s="96" t="str">
        <f>+"前"&amp;F22&amp;M22</f>
        <v>前南Ｂ南Ｆ</v>
      </c>
      <c r="S22" s="97">
        <f>IF(H22&lt;&gt;"",H22,"")</f>
      </c>
      <c r="T22" s="97">
        <f>IF(L22&lt;&gt;"",L22,"")</f>
      </c>
      <c r="U22" s="98">
        <f>+B22</f>
        <v>40371</v>
      </c>
    </row>
    <row r="23" spans="1:21" ht="14.25" customHeight="1">
      <c r="A23" s="226"/>
      <c r="B23" s="239"/>
      <c r="C23" s="318"/>
      <c r="D23" s="220"/>
      <c r="E23" s="202"/>
      <c r="F23" s="78" t="str">
        <f>LEFT(VLOOKUP(F22,'参加チーム'!$B$5:$F$73,5,FALSE),2)</f>
        <v>福島</v>
      </c>
      <c r="G23" s="209"/>
      <c r="H23" s="202"/>
      <c r="I23" s="79"/>
      <c r="J23" s="205"/>
      <c r="K23" s="79"/>
      <c r="L23" s="202"/>
      <c r="M23" s="78" t="str">
        <f>LEFT(VLOOKUP(M22,'参加チーム'!$B$5:$F$73,5,FALSE),2)</f>
        <v>山形</v>
      </c>
      <c r="N23" s="209"/>
      <c r="O23" s="199"/>
      <c r="P23" s="319"/>
      <c r="R23" s="99" t="str">
        <f>+"前"&amp;M22&amp;F22</f>
        <v>前南Ｆ南Ｂ</v>
      </c>
      <c r="S23" s="90">
        <f>IF(L22&lt;&gt;"",L22,"")</f>
      </c>
      <c r="T23" s="90">
        <f>IF(H22&lt;&gt;"",H22,"")</f>
      </c>
      <c r="U23" s="100">
        <f>+B22</f>
        <v>40371</v>
      </c>
    </row>
    <row r="24" spans="1:21" ht="14.25" customHeight="1">
      <c r="A24" s="226"/>
      <c r="B24" s="239"/>
      <c r="C24" s="318"/>
      <c r="D24" s="219">
        <v>2</v>
      </c>
      <c r="E24" s="214">
        <v>0.513888888888889</v>
      </c>
      <c r="F24" s="80" t="s">
        <v>100</v>
      </c>
      <c r="G24" s="208" t="str">
        <f>VLOOKUP($F24,'参加チーム'!$B$5:$F$73,IF($M$2=1,3,4),FALSE)</f>
        <v>azul</v>
      </c>
      <c r="H24" s="203">
        <f>IF(I24&lt;&gt;"",I24+I25,"")</f>
      </c>
      <c r="I24" s="79"/>
      <c r="J24" s="204" t="s">
        <v>80</v>
      </c>
      <c r="K24" s="79"/>
      <c r="L24" s="203">
        <f>IF(K24&lt;&gt;"",K24+K25,"")</f>
      </c>
      <c r="M24" s="80" t="s">
        <v>99</v>
      </c>
      <c r="N24" s="208" t="str">
        <f>VLOOKUP($M24,'参加チーム'!$B$5:$F$73,IF($M$2=1,3,4),FALSE)</f>
        <v>Zoorasia</v>
      </c>
      <c r="O24" s="198" t="str">
        <f>+N24</f>
        <v>Zoorasia</v>
      </c>
      <c r="P24" s="319"/>
      <c r="R24" s="99" t="str">
        <f>+"前"&amp;F24&amp;M24</f>
        <v>前南Ｃ南Ａ</v>
      </c>
      <c r="S24" s="90">
        <f>IF(H24&lt;&gt;"",H24,"")</f>
      </c>
      <c r="T24" s="90">
        <f>IF(L24&lt;&gt;"",L24,"")</f>
      </c>
      <c r="U24" s="100">
        <f>+B22</f>
        <v>40371</v>
      </c>
    </row>
    <row r="25" spans="1:21" ht="14.25" customHeight="1">
      <c r="A25" s="226"/>
      <c r="B25" s="239"/>
      <c r="C25" s="238" t="s">
        <v>158</v>
      </c>
      <c r="D25" s="220"/>
      <c r="E25" s="202"/>
      <c r="F25" s="78" t="str">
        <f>LEFT(VLOOKUP(F24,'参加チーム'!$B$5:$F$73,5,FALSE),2)</f>
        <v>宮城</v>
      </c>
      <c r="G25" s="209"/>
      <c r="H25" s="202"/>
      <c r="I25" s="79"/>
      <c r="J25" s="205"/>
      <c r="K25" s="79"/>
      <c r="L25" s="202"/>
      <c r="M25" s="78" t="str">
        <f>LEFT(VLOOKUP(M24,'参加チーム'!$B$5:$F$73,5,FALSE),2)</f>
        <v>宮城</v>
      </c>
      <c r="N25" s="209"/>
      <c r="O25" s="199"/>
      <c r="P25" s="319"/>
      <c r="R25" s="99" t="str">
        <f>+"前"&amp;M24&amp;F24</f>
        <v>前南Ａ南Ｃ</v>
      </c>
      <c r="S25" s="90">
        <f>IF(L24&lt;&gt;"",L24,"")</f>
      </c>
      <c r="T25" s="90">
        <f>IF(H24&lt;&gt;"",H24,"")</f>
      </c>
      <c r="U25" s="100">
        <f>+B22</f>
        <v>40371</v>
      </c>
    </row>
    <row r="26" spans="1:21" ht="14.25" customHeight="1">
      <c r="A26" s="226"/>
      <c r="B26" s="239"/>
      <c r="C26" s="324"/>
      <c r="D26" s="219">
        <v>3</v>
      </c>
      <c r="E26" s="214">
        <v>0.5902777777777778</v>
      </c>
      <c r="F26" s="80" t="s">
        <v>170</v>
      </c>
      <c r="G26" s="208" t="str">
        <f>VLOOKUP($F26,'参加チーム'!$B$5:$F$73,IF($M$2=1,3,4),FALSE)</f>
        <v>カメレオン</v>
      </c>
      <c r="H26" s="203">
        <f>IF(I26&lt;&gt;"",I26+I27,"")</f>
      </c>
      <c r="I26" s="79"/>
      <c r="J26" s="204" t="s">
        <v>80</v>
      </c>
      <c r="K26" s="79"/>
      <c r="L26" s="203">
        <f>IF(K26&lt;&gt;"",K26+K27,"")</f>
      </c>
      <c r="M26" s="80" t="s">
        <v>169</v>
      </c>
      <c r="N26" s="208" t="str">
        <f>VLOOKUP($M26,'参加チーム'!$B$5:$F$73,IF($M$2=1,3,4),FALSE)</f>
        <v>ULTIMO</v>
      </c>
      <c r="O26" s="198" t="str">
        <f>+N26</f>
        <v>ULTIMO</v>
      </c>
      <c r="P26" s="319"/>
      <c r="R26" s="99" t="str">
        <f>+"前"&amp;F26&amp;M26</f>
        <v>前南Ｅ南Ｄ</v>
      </c>
      <c r="S26" s="90">
        <f>IF(H26&lt;&gt;"",H26,"")</f>
      </c>
      <c r="T26" s="90">
        <f>IF(L26&lt;&gt;"",L26,"")</f>
      </c>
      <c r="U26" s="100">
        <f>+B22</f>
        <v>40371</v>
      </c>
    </row>
    <row r="27" spans="1:21" ht="15" customHeight="1" thickBot="1">
      <c r="A27" s="227"/>
      <c r="B27" s="240"/>
      <c r="C27" s="325"/>
      <c r="D27" s="221"/>
      <c r="E27" s="212"/>
      <c r="F27" s="81" t="str">
        <f>LEFT(VLOOKUP(F26,'参加チーム'!$B$5:$F$73,5,FALSE),2)</f>
        <v>山形</v>
      </c>
      <c r="G27" s="207"/>
      <c r="H27" s="212"/>
      <c r="I27" s="82"/>
      <c r="J27" s="213"/>
      <c r="K27" s="82"/>
      <c r="L27" s="212"/>
      <c r="M27" s="81" t="str">
        <f>LEFT(VLOOKUP(M26,'参加チーム'!$B$5:$F$73,5,FALSE),2)</f>
        <v>宮城</v>
      </c>
      <c r="N27" s="207"/>
      <c r="O27" s="200"/>
      <c r="P27" s="323"/>
      <c r="R27" s="102" t="str">
        <f>+"前"&amp;M26&amp;F26</f>
        <v>前南Ｄ南Ｅ</v>
      </c>
      <c r="S27" s="103">
        <f>IF(L26&lt;&gt;"",L26,"")</f>
      </c>
      <c r="T27" s="103">
        <f>IF(H26&lt;&gt;"",H26,"")</f>
      </c>
      <c r="U27" s="104">
        <f>+B22</f>
        <v>40371</v>
      </c>
    </row>
    <row r="28" spans="1:21" ht="14.25" customHeight="1">
      <c r="A28" s="225">
        <v>5</v>
      </c>
      <c r="B28" s="315">
        <v>40378</v>
      </c>
      <c r="C28" s="316" t="s">
        <v>101</v>
      </c>
      <c r="D28" s="233">
        <v>1</v>
      </c>
      <c r="E28" s="217">
        <v>0.4375</v>
      </c>
      <c r="F28" s="76" t="s">
        <v>169</v>
      </c>
      <c r="G28" s="210" t="str">
        <f>VLOOKUP($F28,'参加チーム'!$B$5:$F$73,IF($M$2=1,3,4),FALSE)</f>
        <v>ULTIMO</v>
      </c>
      <c r="H28" s="201">
        <f>IF(I28&lt;&gt;"",I28+I29,"")</f>
      </c>
      <c r="I28" s="77"/>
      <c r="J28" s="215" t="s">
        <v>80</v>
      </c>
      <c r="K28" s="77"/>
      <c r="L28" s="201">
        <f>IF(K28&lt;&gt;"",K28+K29,"")</f>
      </c>
      <c r="M28" s="76" t="s">
        <v>171</v>
      </c>
      <c r="N28" s="210" t="str">
        <f>VLOOKUP($M28,'参加チーム'!$B$5:$F$73,IF($M$2=1,3,4),FALSE)</f>
        <v>Craque</v>
      </c>
      <c r="O28" s="211" t="str">
        <f>+N28</f>
        <v>Craque</v>
      </c>
      <c r="P28" s="317" t="str">
        <f>+N32</f>
        <v>アトレチコ</v>
      </c>
      <c r="R28" s="96" t="str">
        <f>+"前"&amp;F28&amp;M28</f>
        <v>前南Ｄ南Ｆ</v>
      </c>
      <c r="S28" s="97">
        <f>IF(H28&lt;&gt;"",H28,"")</f>
      </c>
      <c r="T28" s="97">
        <f>IF(L28&lt;&gt;"",L28,"")</f>
      </c>
      <c r="U28" s="98">
        <f>+B28</f>
        <v>40378</v>
      </c>
    </row>
    <row r="29" spans="1:21" ht="14.25" customHeight="1">
      <c r="A29" s="226"/>
      <c r="B29" s="239"/>
      <c r="C29" s="318"/>
      <c r="D29" s="220"/>
      <c r="E29" s="202"/>
      <c r="F29" s="78" t="str">
        <f>LEFT(VLOOKUP(F28,'参加チーム'!$B$5:$F$73,5,FALSE),2)</f>
        <v>宮城</v>
      </c>
      <c r="G29" s="209"/>
      <c r="H29" s="202"/>
      <c r="I29" s="79"/>
      <c r="J29" s="205"/>
      <c r="K29" s="79"/>
      <c r="L29" s="202"/>
      <c r="M29" s="78" t="str">
        <f>LEFT(VLOOKUP(M28,'参加チーム'!$B$5:$F$73,5,FALSE),2)</f>
        <v>山形</v>
      </c>
      <c r="N29" s="209"/>
      <c r="O29" s="199"/>
      <c r="P29" s="319"/>
      <c r="R29" s="99" t="str">
        <f>+"前"&amp;M28&amp;F28</f>
        <v>前南Ｆ南Ｄ</v>
      </c>
      <c r="S29" s="90">
        <f>IF(L28&lt;&gt;"",L28,"")</f>
      </c>
      <c r="T29" s="90">
        <f>IF(H28&lt;&gt;"",H28,"")</f>
      </c>
      <c r="U29" s="100">
        <f>+B28</f>
        <v>40378</v>
      </c>
    </row>
    <row r="30" spans="1:21" ht="14.25" customHeight="1">
      <c r="A30" s="226"/>
      <c r="B30" s="239"/>
      <c r="C30" s="318"/>
      <c r="D30" s="219">
        <v>2</v>
      </c>
      <c r="E30" s="214">
        <v>0.513888888888889</v>
      </c>
      <c r="F30" s="80" t="s">
        <v>170</v>
      </c>
      <c r="G30" s="208" t="str">
        <f>VLOOKUP($F30,'参加チーム'!$B$5:$F$73,IF($M$2=1,3,4),FALSE)</f>
        <v>カメレオン</v>
      </c>
      <c r="H30" s="203">
        <f>IF(I30&lt;&gt;"",I30+I31,"")</f>
      </c>
      <c r="I30" s="79"/>
      <c r="J30" s="204" t="s">
        <v>80</v>
      </c>
      <c r="K30" s="79"/>
      <c r="L30" s="203">
        <f>IF(K30&lt;&gt;"",K30+K31,"")</f>
      </c>
      <c r="M30" s="80" t="s">
        <v>100</v>
      </c>
      <c r="N30" s="208" t="str">
        <f>VLOOKUP($M30,'参加チーム'!$B$5:$F$73,IF($M$2=1,3,4),FALSE)</f>
        <v>azul</v>
      </c>
      <c r="O30" s="198" t="str">
        <f>+N30</f>
        <v>azul</v>
      </c>
      <c r="P30" s="319"/>
      <c r="R30" s="99" t="str">
        <f>+"前"&amp;F30&amp;M30</f>
        <v>前南Ｅ南Ｃ</v>
      </c>
      <c r="S30" s="90">
        <f>IF(H30&lt;&gt;"",H30,"")</f>
      </c>
      <c r="T30" s="90">
        <f>IF(L30&lt;&gt;"",L30,"")</f>
      </c>
      <c r="U30" s="100">
        <f>+B28</f>
        <v>40378</v>
      </c>
    </row>
    <row r="31" spans="1:21" ht="14.25" customHeight="1">
      <c r="A31" s="226"/>
      <c r="B31" s="239"/>
      <c r="C31" s="320" t="s">
        <v>159</v>
      </c>
      <c r="D31" s="220"/>
      <c r="E31" s="202"/>
      <c r="F31" s="78" t="str">
        <f>LEFT(VLOOKUP(F30,'参加チーム'!$B$5:$F$73,5,FALSE),2)</f>
        <v>山形</v>
      </c>
      <c r="G31" s="209"/>
      <c r="H31" s="202"/>
      <c r="I31" s="79"/>
      <c r="J31" s="205"/>
      <c r="K31" s="79"/>
      <c r="L31" s="202"/>
      <c r="M31" s="78" t="str">
        <f>LEFT(VLOOKUP(M30,'参加チーム'!$B$5:$F$73,5,FALSE),2)</f>
        <v>宮城</v>
      </c>
      <c r="N31" s="209"/>
      <c r="O31" s="199"/>
      <c r="P31" s="319"/>
      <c r="R31" s="99" t="str">
        <f>+"前"&amp;M30&amp;F30</f>
        <v>前南Ｃ南Ｅ</v>
      </c>
      <c r="S31" s="90">
        <f>IF(L30&lt;&gt;"",L30,"")</f>
      </c>
      <c r="T31" s="90">
        <f>IF(H30&lt;&gt;"",H30,"")</f>
      </c>
      <c r="U31" s="100">
        <f>+B28</f>
        <v>40378</v>
      </c>
    </row>
    <row r="32" spans="1:21" ht="14.25" customHeight="1">
      <c r="A32" s="226"/>
      <c r="B32" s="239"/>
      <c r="C32" s="326"/>
      <c r="D32" s="219">
        <v>3</v>
      </c>
      <c r="E32" s="214">
        <v>0.5902777777777778</v>
      </c>
      <c r="F32" s="80" t="s">
        <v>99</v>
      </c>
      <c r="G32" s="208" t="str">
        <f>VLOOKUP($F32,'参加チーム'!$B$5:$F$73,IF($M$2=1,3,4),FALSE)</f>
        <v>Zoorasia</v>
      </c>
      <c r="H32" s="203">
        <f>IF(I32&lt;&gt;"",I32+I33,"")</f>
      </c>
      <c r="I32" s="79"/>
      <c r="J32" s="204" t="s">
        <v>80</v>
      </c>
      <c r="K32" s="79"/>
      <c r="L32" s="203">
        <f>IF(K32&lt;&gt;"",K32+K33,"")</f>
      </c>
      <c r="M32" s="80" t="s">
        <v>172</v>
      </c>
      <c r="N32" s="208" t="str">
        <f>VLOOKUP($M32,'参加チーム'!$B$5:$F$73,IF($M$2=1,3,4),FALSE)</f>
        <v>アトレチコ</v>
      </c>
      <c r="O32" s="198" t="str">
        <f>+N32</f>
        <v>アトレチコ</v>
      </c>
      <c r="P32" s="319"/>
      <c r="R32" s="99" t="str">
        <f>+"前"&amp;F32&amp;M32</f>
        <v>前南Ａ南Ｂ</v>
      </c>
      <c r="S32" s="90">
        <f>IF(H32&lt;&gt;"",H32,"")</f>
      </c>
      <c r="T32" s="90">
        <f>IF(L32&lt;&gt;"",L32,"")</f>
      </c>
      <c r="U32" s="100">
        <f>+B28</f>
        <v>40378</v>
      </c>
    </row>
    <row r="33" spans="1:21" ht="15" customHeight="1" thickBot="1">
      <c r="A33" s="227"/>
      <c r="B33" s="240"/>
      <c r="C33" s="327"/>
      <c r="D33" s="221"/>
      <c r="E33" s="212"/>
      <c r="F33" s="81" t="str">
        <f>LEFT(VLOOKUP(F32,'参加チーム'!$B$5:$F$73,5,FALSE),2)</f>
        <v>宮城</v>
      </c>
      <c r="G33" s="207"/>
      <c r="H33" s="212"/>
      <c r="I33" s="82"/>
      <c r="J33" s="213"/>
      <c r="K33" s="82"/>
      <c r="L33" s="212"/>
      <c r="M33" s="81" t="str">
        <f>LEFT(VLOOKUP(M32,'参加チーム'!$B$5:$F$73,5,FALSE),2)</f>
        <v>福島</v>
      </c>
      <c r="N33" s="207"/>
      <c r="O33" s="200"/>
      <c r="P33" s="323"/>
      <c r="R33" s="102" t="str">
        <f>+"前"&amp;M32&amp;F32</f>
        <v>前南Ｂ南Ａ</v>
      </c>
      <c r="S33" s="103">
        <f>IF(L32&lt;&gt;"",L32,"")</f>
      </c>
      <c r="T33" s="103">
        <f>IF(H32&lt;&gt;"",H32,"")</f>
      </c>
      <c r="U33" s="104">
        <f>+B28</f>
        <v>40378</v>
      </c>
    </row>
    <row r="35" spans="1:19" ht="28.5" customHeight="1" thickBot="1">
      <c r="A35" s="261" t="s">
        <v>94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R35" s="89"/>
      <c r="S35" s="90"/>
    </row>
    <row r="36" spans="1:19" ht="25.5" customHeight="1" thickBot="1">
      <c r="A36" s="263"/>
      <c r="B36" s="264" t="s">
        <v>45</v>
      </c>
      <c r="C36" s="264" t="s">
        <v>46</v>
      </c>
      <c r="D36" s="264" t="s">
        <v>95</v>
      </c>
      <c r="E36" s="264" t="s">
        <v>47</v>
      </c>
      <c r="F36" s="266"/>
      <c r="G36" s="267" t="s">
        <v>96</v>
      </c>
      <c r="H36" s="268" t="s">
        <v>48</v>
      </c>
      <c r="I36" s="268"/>
      <c r="J36" s="268"/>
      <c r="K36" s="268"/>
      <c r="L36" s="268"/>
      <c r="M36" s="266"/>
      <c r="N36" s="267" t="s">
        <v>97</v>
      </c>
      <c r="O36" s="264" t="s">
        <v>241</v>
      </c>
      <c r="P36" s="269" t="s">
        <v>44</v>
      </c>
      <c r="R36" s="90"/>
      <c r="S36" s="90"/>
    </row>
    <row r="37" spans="1:21" ht="14.25" customHeight="1">
      <c r="A37" s="270">
        <v>6</v>
      </c>
      <c r="B37" s="328">
        <v>40427</v>
      </c>
      <c r="C37" s="329" t="s">
        <v>52</v>
      </c>
      <c r="D37" s="273">
        <v>1</v>
      </c>
      <c r="E37" s="274">
        <v>0.4375</v>
      </c>
      <c r="F37" s="275"/>
      <c r="G37" s="276">
        <f>IF(F37&lt;&gt;"",VLOOKUP(F37,'参加チーム'!$B$5:$F$73,IF($M$2=1,3,4),FALSE),"")</f>
      </c>
      <c r="H37" s="277">
        <f>IF(I37&lt;&gt;"",I37+I38,"")</f>
      </c>
      <c r="I37" s="278"/>
      <c r="J37" s="279" t="s">
        <v>80</v>
      </c>
      <c r="K37" s="278"/>
      <c r="L37" s="277">
        <f>IF(K37&lt;&gt;"",K37+K38,"")</f>
      </c>
      <c r="M37" s="275"/>
      <c r="N37" s="276">
        <f>IF(M37&lt;&gt;"",VLOOKUP(M37,'参加チーム'!$B$5:$F$73,3,FALSE),"")</f>
      </c>
      <c r="O37" s="280">
        <f>+N37</f>
      </c>
      <c r="P37" s="330">
        <f>+N37</f>
      </c>
      <c r="R37" s="96" t="str">
        <f>+"後"&amp;F37&amp;M37</f>
        <v>後</v>
      </c>
      <c r="S37" s="97">
        <f>IF(H37&lt;&gt;"",H37,"")</f>
      </c>
      <c r="T37" s="97">
        <f>IF(L37&lt;&gt;"",L37,"")</f>
      </c>
      <c r="U37" s="98">
        <f>+B37</f>
        <v>40427</v>
      </c>
    </row>
    <row r="38" spans="1:21" ht="14.25" customHeight="1">
      <c r="A38" s="282"/>
      <c r="B38" s="331"/>
      <c r="C38" s="332"/>
      <c r="D38" s="285"/>
      <c r="E38" s="286"/>
      <c r="F38" s="287">
        <f>IF(F37&lt;&gt;"",LEFT(VLOOKUP(F37,'参加チーム'!$B$5:$F$73,5,FALSE),2),"")</f>
      </c>
      <c r="G38" s="288"/>
      <c r="H38" s="286"/>
      <c r="I38" s="289"/>
      <c r="J38" s="290"/>
      <c r="K38" s="289"/>
      <c r="L38" s="286"/>
      <c r="M38" s="287">
        <f>IF(M37&lt;&gt;"",LEFT(VLOOKUP(M37,'参加チーム'!$B$5:$F$73,5,FALSE),2),"")</f>
      </c>
      <c r="N38" s="288"/>
      <c r="O38" s="291"/>
      <c r="P38" s="333"/>
      <c r="R38" s="99" t="str">
        <f>+"後"&amp;M37&amp;F37</f>
        <v>後</v>
      </c>
      <c r="S38" s="90">
        <f>IF(L37&lt;&gt;"",L37,"")</f>
      </c>
      <c r="T38" s="90">
        <f>IF(H37&lt;&gt;"",H37,"")</f>
      </c>
      <c r="U38" s="100">
        <f>+B37</f>
        <v>40427</v>
      </c>
    </row>
    <row r="39" spans="1:21" ht="14.25" customHeight="1">
      <c r="A39" s="282"/>
      <c r="B39" s="331"/>
      <c r="C39" s="332"/>
      <c r="D39" s="293">
        <v>2</v>
      </c>
      <c r="E39" s="294">
        <v>0.513888888888889</v>
      </c>
      <c r="F39" s="295"/>
      <c r="G39" s="296">
        <f>IF(F39&lt;&gt;"",VLOOKUP(F39,'参加チーム'!$B$5:$F$73,IF($M$2=1,3,4),FALSE),"")</f>
      </c>
      <c r="H39" s="297">
        <f>IF(I39&lt;&gt;"",I39+I40,"")</f>
      </c>
      <c r="I39" s="289"/>
      <c r="J39" s="298" t="s">
        <v>80</v>
      </c>
      <c r="K39" s="289"/>
      <c r="L39" s="297">
        <f>IF(K39&lt;&gt;"",K39+K40,"")</f>
      </c>
      <c r="M39" s="295"/>
      <c r="N39" s="296">
        <f>IF(M39&lt;&gt;"",VLOOKUP(M39,'参加チーム'!$B$5:$F$73,3,FALSE),"")</f>
      </c>
      <c r="O39" s="299">
        <f>+N39</f>
      </c>
      <c r="P39" s="333"/>
      <c r="R39" s="99" t="str">
        <f>+"後"&amp;F39&amp;M39</f>
        <v>後</v>
      </c>
      <c r="S39" s="90">
        <f>+H39</f>
      </c>
      <c r="T39" s="90">
        <f>+L39</f>
      </c>
      <c r="U39" s="100">
        <f>+B37</f>
        <v>40427</v>
      </c>
    </row>
    <row r="40" spans="1:21" ht="14.25" customHeight="1">
      <c r="A40" s="282"/>
      <c r="B40" s="331"/>
      <c r="C40" s="334" t="s">
        <v>158</v>
      </c>
      <c r="D40" s="285"/>
      <c r="E40" s="286"/>
      <c r="F40" s="287">
        <f>IF(F39&lt;&gt;"",LEFT(VLOOKUP(F39,'参加チーム'!$B$5:$F$73,5,FALSE),2),"")</f>
      </c>
      <c r="G40" s="288"/>
      <c r="H40" s="286"/>
      <c r="I40" s="289"/>
      <c r="J40" s="290"/>
      <c r="K40" s="289"/>
      <c r="L40" s="286"/>
      <c r="M40" s="287">
        <f>IF(M39&lt;&gt;"",LEFT(VLOOKUP(M39,'参加チーム'!$B$5:$F$73,5,FALSE),2),"")</f>
      </c>
      <c r="N40" s="288"/>
      <c r="O40" s="291"/>
      <c r="P40" s="333"/>
      <c r="R40" s="99" t="str">
        <f>+"後"&amp;M39&amp;F39</f>
        <v>後</v>
      </c>
      <c r="S40" s="90">
        <f>+L39</f>
      </c>
      <c r="T40" s="90">
        <f>+H39</f>
      </c>
      <c r="U40" s="100">
        <f>+B37</f>
        <v>40427</v>
      </c>
    </row>
    <row r="41" spans="1:21" ht="14.25">
      <c r="A41" s="282"/>
      <c r="B41" s="331"/>
      <c r="C41" s="335"/>
      <c r="D41" s="293">
        <v>3</v>
      </c>
      <c r="E41" s="294">
        <v>0.5902777777777778</v>
      </c>
      <c r="F41" s="295"/>
      <c r="G41" s="296">
        <f>IF(F41&lt;&gt;"",VLOOKUP(F41,'参加チーム'!$B$5:$F$73,IF($M$2=1,3,4),FALSE),"")</f>
      </c>
      <c r="H41" s="297">
        <f>IF(I41&lt;&gt;"",I41+I42,"")</f>
      </c>
      <c r="I41" s="289"/>
      <c r="J41" s="298" t="s">
        <v>80</v>
      </c>
      <c r="K41" s="289"/>
      <c r="L41" s="297">
        <f>IF(K41&lt;&gt;"",K41+K42,"")</f>
      </c>
      <c r="M41" s="295"/>
      <c r="N41" s="296">
        <f>IF(M41&lt;&gt;"",VLOOKUP(M41,'参加チーム'!$B$5:$F$73,3,FALSE),"")</f>
      </c>
      <c r="O41" s="299">
        <f>+N41</f>
      </c>
      <c r="P41" s="333"/>
      <c r="R41" s="99" t="str">
        <f>+"後"&amp;F41&amp;M41</f>
        <v>後</v>
      </c>
      <c r="S41" s="90">
        <f>+H41</f>
      </c>
      <c r="T41" s="90">
        <f>+L41</f>
      </c>
      <c r="U41" s="100">
        <f>+B37</f>
        <v>40427</v>
      </c>
    </row>
    <row r="42" spans="1:21" ht="15" thickBot="1">
      <c r="A42" s="303"/>
      <c r="B42" s="336"/>
      <c r="C42" s="337"/>
      <c r="D42" s="306"/>
      <c r="E42" s="307"/>
      <c r="F42" s="308">
        <f>IF(F41&lt;&gt;"",LEFT(VLOOKUP(F41,'参加チーム'!$B$5:$F$73,5,FALSE),2),"")</f>
      </c>
      <c r="G42" s="309"/>
      <c r="H42" s="307"/>
      <c r="I42" s="310"/>
      <c r="J42" s="311"/>
      <c r="K42" s="310"/>
      <c r="L42" s="307"/>
      <c r="M42" s="308">
        <f>IF(M41&lt;&gt;"",LEFT(VLOOKUP(M41,'参加チーム'!$B$5:$F$73,5,FALSE),2),"")</f>
      </c>
      <c r="N42" s="309"/>
      <c r="O42" s="312"/>
      <c r="P42" s="338"/>
      <c r="R42" s="102" t="str">
        <f>+"後"&amp;M41&amp;F41</f>
        <v>後</v>
      </c>
      <c r="S42" s="103">
        <f>+L41</f>
      </c>
      <c r="T42" s="103">
        <f>+H41</f>
      </c>
      <c r="U42" s="104">
        <f>+B37</f>
        <v>40427</v>
      </c>
    </row>
    <row r="43" spans="1:21" ht="14.25" customHeight="1">
      <c r="A43" s="270">
        <v>7</v>
      </c>
      <c r="B43" s="328">
        <v>40441</v>
      </c>
      <c r="C43" s="329" t="s">
        <v>52</v>
      </c>
      <c r="D43" s="273">
        <v>1</v>
      </c>
      <c r="E43" s="274">
        <v>0.4375</v>
      </c>
      <c r="F43" s="275"/>
      <c r="G43" s="276">
        <f>IF(F43&lt;&gt;"",VLOOKUP(F43,'参加チーム'!$B$5:$F$73,IF($M$2=1,3,4),FALSE),"")</f>
      </c>
      <c r="H43" s="277">
        <f>IF(I43&lt;&gt;"",I43+I44,"")</f>
      </c>
      <c r="I43" s="278"/>
      <c r="J43" s="279" t="s">
        <v>80</v>
      </c>
      <c r="K43" s="278"/>
      <c r="L43" s="277">
        <f>IF(K43&lt;&gt;"",K43+K44,"")</f>
      </c>
      <c r="M43" s="275"/>
      <c r="N43" s="276">
        <f>IF(M43&lt;&gt;"",VLOOKUP(M43,'参加チーム'!$B$5:$F$73,3,FALSE),"")</f>
      </c>
      <c r="O43" s="280">
        <f>+N43</f>
      </c>
      <c r="P43" s="330">
        <f>+N47</f>
      </c>
      <c r="R43" s="96" t="str">
        <f>+"後"&amp;F43&amp;M43</f>
        <v>後</v>
      </c>
      <c r="S43" s="97">
        <f>IF(H43&lt;&gt;"",H43,"")</f>
      </c>
      <c r="T43" s="97">
        <f>IF(L43&lt;&gt;"",L43,"")</f>
      </c>
      <c r="U43" s="98">
        <f>+B43</f>
        <v>40441</v>
      </c>
    </row>
    <row r="44" spans="1:21" ht="14.25" customHeight="1">
      <c r="A44" s="282"/>
      <c r="B44" s="331"/>
      <c r="C44" s="332"/>
      <c r="D44" s="285"/>
      <c r="E44" s="286"/>
      <c r="F44" s="287">
        <f>IF(F43&lt;&gt;"",LEFT(VLOOKUP(F43,'参加チーム'!$B$5:$F$73,5,FALSE),2),"")</f>
      </c>
      <c r="G44" s="288"/>
      <c r="H44" s="286"/>
      <c r="I44" s="289"/>
      <c r="J44" s="290"/>
      <c r="K44" s="289"/>
      <c r="L44" s="286"/>
      <c r="M44" s="287">
        <f>IF(M43&lt;&gt;"",LEFT(VLOOKUP(M43,'参加チーム'!$B$5:$F$73,5,FALSE),2),"")</f>
      </c>
      <c r="N44" s="288"/>
      <c r="O44" s="291"/>
      <c r="P44" s="333"/>
      <c r="R44" s="99" t="str">
        <f>+"後"&amp;M43&amp;F43</f>
        <v>後</v>
      </c>
      <c r="S44" s="90">
        <f>IF(L43&lt;&gt;"",L43,"")</f>
      </c>
      <c r="T44" s="90">
        <f>IF(H43&lt;&gt;"",H43,"")</f>
      </c>
      <c r="U44" s="100">
        <f>+B43</f>
        <v>40441</v>
      </c>
    </row>
    <row r="45" spans="1:21" ht="14.25" customHeight="1">
      <c r="A45" s="282"/>
      <c r="B45" s="331"/>
      <c r="C45" s="332"/>
      <c r="D45" s="293">
        <v>2</v>
      </c>
      <c r="E45" s="294">
        <v>0.513888888888889</v>
      </c>
      <c r="F45" s="295"/>
      <c r="G45" s="296">
        <f>IF(F45&lt;&gt;"",VLOOKUP(F45,'参加チーム'!$B$5:$F$73,IF($M$2=1,3,4),FALSE),"")</f>
      </c>
      <c r="H45" s="297">
        <f>IF(I45&lt;&gt;"",I45+I46,"")</f>
      </c>
      <c r="I45" s="289"/>
      <c r="J45" s="298" t="s">
        <v>80</v>
      </c>
      <c r="K45" s="289"/>
      <c r="L45" s="297">
        <f>IF(K45&lt;&gt;"",K45+K46,"")</f>
      </c>
      <c r="M45" s="295"/>
      <c r="N45" s="296">
        <f>IF(M45&lt;&gt;"",VLOOKUP(M45,'参加チーム'!$B$5:$F$73,3,FALSE),"")</f>
      </c>
      <c r="O45" s="299">
        <f>+N45</f>
      </c>
      <c r="P45" s="333"/>
      <c r="R45" s="99" t="str">
        <f>+"後"&amp;F45&amp;M45</f>
        <v>後</v>
      </c>
      <c r="S45" s="90">
        <f>IF(H45&lt;&gt;"",H45,"")</f>
      </c>
      <c r="T45" s="90">
        <f>IF(L45&lt;&gt;"",L45,"")</f>
      </c>
      <c r="U45" s="100">
        <f>+B43</f>
        <v>40441</v>
      </c>
    </row>
    <row r="46" spans="1:21" ht="14.25" customHeight="1">
      <c r="A46" s="282"/>
      <c r="B46" s="331"/>
      <c r="C46" s="334" t="s">
        <v>158</v>
      </c>
      <c r="D46" s="285"/>
      <c r="E46" s="286"/>
      <c r="F46" s="287">
        <f>IF(F45&lt;&gt;"",LEFT(VLOOKUP(F45,'参加チーム'!$B$5:$F$73,5,FALSE),2),"")</f>
      </c>
      <c r="G46" s="288"/>
      <c r="H46" s="286"/>
      <c r="I46" s="289"/>
      <c r="J46" s="290"/>
      <c r="K46" s="289"/>
      <c r="L46" s="286"/>
      <c r="M46" s="287">
        <f>IF(M45&lt;&gt;"",LEFT(VLOOKUP(M45,'参加チーム'!$B$5:$F$73,5,FALSE),2),"")</f>
      </c>
      <c r="N46" s="288"/>
      <c r="O46" s="291"/>
      <c r="P46" s="333"/>
      <c r="R46" s="99" t="str">
        <f>+"後"&amp;M45&amp;F45</f>
        <v>後</v>
      </c>
      <c r="S46" s="90">
        <f>IF(L45&lt;&gt;"",L45,"")</f>
      </c>
      <c r="T46" s="90">
        <f>IF(H45&lt;&gt;"",H45,"")</f>
      </c>
      <c r="U46" s="100">
        <f>+B43</f>
        <v>40441</v>
      </c>
    </row>
    <row r="47" spans="1:21" ht="14.25" customHeight="1">
      <c r="A47" s="282"/>
      <c r="B47" s="331"/>
      <c r="C47" s="335"/>
      <c r="D47" s="293">
        <v>3</v>
      </c>
      <c r="E47" s="294">
        <v>0.5902777777777778</v>
      </c>
      <c r="F47" s="295"/>
      <c r="G47" s="296">
        <f>IF(F47&lt;&gt;"",VLOOKUP(F47,'参加チーム'!$B$5:$F$73,IF($M$2=1,3,4),FALSE),"")</f>
      </c>
      <c r="H47" s="297">
        <f>IF(I47&lt;&gt;"",I47+I48,"")</f>
      </c>
      <c r="I47" s="289"/>
      <c r="J47" s="298" t="s">
        <v>80</v>
      </c>
      <c r="K47" s="289"/>
      <c r="L47" s="297">
        <f>IF(K47&lt;&gt;"",K47+K48,"")</f>
      </c>
      <c r="M47" s="295"/>
      <c r="N47" s="296">
        <f>IF(M47&lt;&gt;"",VLOOKUP(M47,'参加チーム'!$B$5:$F$73,3,FALSE),"")</f>
      </c>
      <c r="O47" s="299">
        <f>+N47</f>
      </c>
      <c r="P47" s="333"/>
      <c r="R47" s="99" t="str">
        <f>+"後"&amp;F47&amp;M47</f>
        <v>後</v>
      </c>
      <c r="S47" s="90">
        <f>IF(H47&lt;&gt;"",H47,"")</f>
      </c>
      <c r="T47" s="90">
        <f>IF(L47&lt;&gt;"",L47,"")</f>
      </c>
      <c r="U47" s="100">
        <f>+B43</f>
        <v>40441</v>
      </c>
    </row>
    <row r="48" spans="1:21" ht="15" customHeight="1" thickBot="1">
      <c r="A48" s="303"/>
      <c r="B48" s="336"/>
      <c r="C48" s="337"/>
      <c r="D48" s="306"/>
      <c r="E48" s="307"/>
      <c r="F48" s="308">
        <f>IF(F47&lt;&gt;"",LEFT(VLOOKUP(F47,'参加チーム'!$B$5:$F$73,5,FALSE),2),"")</f>
      </c>
      <c r="G48" s="309"/>
      <c r="H48" s="307"/>
      <c r="I48" s="310"/>
      <c r="J48" s="311"/>
      <c r="K48" s="310"/>
      <c r="L48" s="307"/>
      <c r="M48" s="308">
        <f>IF(M47&lt;&gt;"",LEFT(VLOOKUP(M47,'参加チーム'!$B$5:$F$73,5,FALSE),2),"")</f>
      </c>
      <c r="N48" s="309"/>
      <c r="O48" s="312"/>
      <c r="P48" s="338"/>
      <c r="R48" s="102" t="str">
        <f>+"後"&amp;M47&amp;F47</f>
        <v>後</v>
      </c>
      <c r="S48" s="103">
        <f>IF(L47&lt;&gt;"",L47,"")</f>
      </c>
      <c r="T48" s="103">
        <f>IF(H47&lt;&gt;"",H47,"")</f>
      </c>
      <c r="U48" s="104">
        <f>+B43</f>
        <v>40441</v>
      </c>
    </row>
    <row r="49" spans="1:21" ht="14.25" customHeight="1">
      <c r="A49" s="270">
        <v>8</v>
      </c>
      <c r="B49" s="339">
        <v>40448</v>
      </c>
      <c r="C49" s="329" t="s">
        <v>101</v>
      </c>
      <c r="D49" s="273">
        <v>1</v>
      </c>
      <c r="E49" s="274">
        <v>0.4375</v>
      </c>
      <c r="F49" s="275"/>
      <c r="G49" s="276">
        <f>IF(F49&lt;&gt;"",VLOOKUP(F49,'参加チーム'!$B$5:$F$73,IF($M$2=1,3,4),FALSE),"")</f>
      </c>
      <c r="H49" s="277">
        <f>IF(I49&lt;&gt;"",I49+I50,"")</f>
      </c>
      <c r="I49" s="278"/>
      <c r="J49" s="279" t="s">
        <v>80</v>
      </c>
      <c r="K49" s="278"/>
      <c r="L49" s="277">
        <f>IF(K49&lt;&gt;"",K49+K50,"")</f>
      </c>
      <c r="M49" s="275"/>
      <c r="N49" s="276">
        <f>IF(M49&lt;&gt;"",VLOOKUP(M49,'参加チーム'!$B$5:$F$73,3,FALSE),"")</f>
      </c>
      <c r="O49" s="280">
        <f>+N49</f>
      </c>
      <c r="P49" s="330">
        <f>+G49</f>
      </c>
      <c r="R49" s="96" t="str">
        <f>+"後"&amp;F49&amp;M49</f>
        <v>後</v>
      </c>
      <c r="S49" s="97">
        <f>IF(H49&lt;&gt;"",H49,"")</f>
      </c>
      <c r="T49" s="97">
        <f>IF(L49&lt;&gt;"",L49,"")</f>
      </c>
      <c r="U49" s="98">
        <f>+B49</f>
        <v>40448</v>
      </c>
    </row>
    <row r="50" spans="1:21" ht="14.25" customHeight="1">
      <c r="A50" s="282"/>
      <c r="B50" s="340"/>
      <c r="C50" s="332"/>
      <c r="D50" s="285"/>
      <c r="E50" s="286"/>
      <c r="F50" s="287">
        <f>IF(F49&lt;&gt;"",LEFT(VLOOKUP(F49,'参加チーム'!$B$5:$F$73,5,FALSE),2),"")</f>
      </c>
      <c r="G50" s="288"/>
      <c r="H50" s="286"/>
      <c r="I50" s="289"/>
      <c r="J50" s="290"/>
      <c r="K50" s="289"/>
      <c r="L50" s="286"/>
      <c r="M50" s="287">
        <f>IF(M49&lt;&gt;"",LEFT(VLOOKUP(M49,'参加チーム'!$B$5:$F$73,5,FALSE),2),"")</f>
      </c>
      <c r="N50" s="288"/>
      <c r="O50" s="291"/>
      <c r="P50" s="333"/>
      <c r="R50" s="99" t="str">
        <f>+"後"&amp;M49&amp;F49</f>
        <v>後</v>
      </c>
      <c r="S50" s="90">
        <f>IF(L49&lt;&gt;"",L49,"")</f>
      </c>
      <c r="T50" s="90">
        <f>IF(H49&lt;&gt;"",H49,"")</f>
      </c>
      <c r="U50" s="100">
        <f>+B49</f>
        <v>40448</v>
      </c>
    </row>
    <row r="51" spans="1:21" ht="14.25" customHeight="1">
      <c r="A51" s="282"/>
      <c r="B51" s="340"/>
      <c r="C51" s="332"/>
      <c r="D51" s="293">
        <v>2</v>
      </c>
      <c r="E51" s="294">
        <v>0.513888888888889</v>
      </c>
      <c r="F51" s="295"/>
      <c r="G51" s="296">
        <f>IF(F51&lt;&gt;"",VLOOKUP(F51,'参加チーム'!$B$5:$F$73,IF($M$2=1,3,4),FALSE),"")</f>
      </c>
      <c r="H51" s="297">
        <f>IF(I51&lt;&gt;"",I51+I52,"")</f>
      </c>
      <c r="I51" s="289"/>
      <c r="J51" s="298" t="s">
        <v>80</v>
      </c>
      <c r="K51" s="289"/>
      <c r="L51" s="297">
        <f>IF(K51&lt;&gt;"",K51+K52,"")</f>
      </c>
      <c r="M51" s="295"/>
      <c r="N51" s="296">
        <f>IF(M51&lt;&gt;"",VLOOKUP(M51,'参加チーム'!$B$5:$F$73,3,FALSE),"")</f>
      </c>
      <c r="O51" s="299">
        <f>+N51</f>
      </c>
      <c r="P51" s="333"/>
      <c r="R51" s="99" t="str">
        <f>+"後"&amp;F51&amp;M51</f>
        <v>後</v>
      </c>
      <c r="S51" s="90">
        <f>IF(H51&lt;&gt;"",H51,"")</f>
      </c>
      <c r="T51" s="90">
        <f>IF(L51&lt;&gt;"",L51,"")</f>
      </c>
      <c r="U51" s="100">
        <f>+B49</f>
        <v>40448</v>
      </c>
    </row>
    <row r="52" spans="1:21" ht="14.25" customHeight="1">
      <c r="A52" s="282"/>
      <c r="B52" s="340"/>
      <c r="C52" s="341" t="s">
        <v>244</v>
      </c>
      <c r="D52" s="285"/>
      <c r="E52" s="286"/>
      <c r="F52" s="287">
        <f>IF(F51&lt;&gt;"",LEFT(VLOOKUP(F51,'参加チーム'!$B$5:$F$73,5,FALSE),2),"")</f>
      </c>
      <c r="G52" s="288"/>
      <c r="H52" s="286"/>
      <c r="I52" s="289"/>
      <c r="J52" s="290"/>
      <c r="K52" s="289"/>
      <c r="L52" s="286"/>
      <c r="M52" s="287">
        <f>IF(M51&lt;&gt;"",LEFT(VLOOKUP(M51,'参加チーム'!$B$5:$F$73,5,FALSE),2),"")</f>
      </c>
      <c r="N52" s="288"/>
      <c r="O52" s="291"/>
      <c r="P52" s="333"/>
      <c r="R52" s="99" t="str">
        <f>+"後"&amp;M51&amp;F51</f>
        <v>後</v>
      </c>
      <c r="S52" s="90">
        <f>IF(L51&lt;&gt;"",L51,"")</f>
      </c>
      <c r="T52" s="90">
        <f>IF(H51&lt;&gt;"",H51,"")</f>
      </c>
      <c r="U52" s="100">
        <f>+B49</f>
        <v>40448</v>
      </c>
    </row>
    <row r="53" spans="1:21" ht="14.25">
      <c r="A53" s="282"/>
      <c r="B53" s="340"/>
      <c r="C53" s="342"/>
      <c r="D53" s="293">
        <v>3</v>
      </c>
      <c r="E53" s="294">
        <v>0.5902777777777778</v>
      </c>
      <c r="F53" s="295"/>
      <c r="G53" s="296">
        <f>IF(F53&lt;&gt;"",VLOOKUP(F53,'参加チーム'!$B$5:$F$73,IF($M$2=1,3,4),FALSE),"")</f>
      </c>
      <c r="H53" s="297">
        <f>IF(I53&lt;&gt;"",I53+I54,"")</f>
      </c>
      <c r="I53" s="289"/>
      <c r="J53" s="298" t="s">
        <v>80</v>
      </c>
      <c r="K53" s="289"/>
      <c r="L53" s="297">
        <f>IF(K53&lt;&gt;"",K53+K54,"")</f>
      </c>
      <c r="M53" s="295"/>
      <c r="N53" s="296">
        <f>IF(M53&lt;&gt;"",VLOOKUP(M53,'参加チーム'!$B$5:$F$73,3,FALSE),"")</f>
      </c>
      <c r="O53" s="299">
        <f>+N53</f>
      </c>
      <c r="P53" s="333"/>
      <c r="R53" s="99" t="str">
        <f>+"後"&amp;F53&amp;M53</f>
        <v>後</v>
      </c>
      <c r="S53" s="90">
        <f>IF(H53&lt;&gt;"",H53,"")</f>
      </c>
      <c r="T53" s="90">
        <f>IF(L53&lt;&gt;"",L53,"")</f>
      </c>
      <c r="U53" s="100">
        <f>+B49</f>
        <v>40448</v>
      </c>
    </row>
    <row r="54" spans="1:21" ht="15" thickBot="1">
      <c r="A54" s="303"/>
      <c r="B54" s="343"/>
      <c r="C54" s="344"/>
      <c r="D54" s="306"/>
      <c r="E54" s="307"/>
      <c r="F54" s="308">
        <f>IF(F53&lt;&gt;"",LEFT(VLOOKUP(F53,'参加チーム'!$B$5:$F$73,5,FALSE),2),"")</f>
      </c>
      <c r="G54" s="309"/>
      <c r="H54" s="307"/>
      <c r="I54" s="310"/>
      <c r="J54" s="311"/>
      <c r="K54" s="310"/>
      <c r="L54" s="307"/>
      <c r="M54" s="308">
        <f>IF(M53&lt;&gt;"",LEFT(VLOOKUP(M53,'参加チーム'!$B$5:$F$73,5,FALSE),2),"")</f>
      </c>
      <c r="N54" s="309"/>
      <c r="O54" s="312"/>
      <c r="P54" s="338"/>
      <c r="R54" s="102" t="str">
        <f>+"後"&amp;M53&amp;F53</f>
        <v>後</v>
      </c>
      <c r="S54" s="103">
        <f>IF(L53&lt;&gt;"",L53,"")</f>
      </c>
      <c r="T54" s="103">
        <f>IF(H53&lt;&gt;"",H53,"")</f>
      </c>
      <c r="U54" s="104">
        <f>+B49</f>
        <v>40448</v>
      </c>
    </row>
    <row r="55" spans="1:21" ht="14.25" customHeight="1">
      <c r="A55" s="270">
        <v>9</v>
      </c>
      <c r="B55" s="328">
        <v>40455</v>
      </c>
      <c r="C55" s="329" t="s">
        <v>81</v>
      </c>
      <c r="D55" s="273">
        <v>1</v>
      </c>
      <c r="E55" s="274">
        <v>0.4375</v>
      </c>
      <c r="F55" s="275"/>
      <c r="G55" s="276">
        <f>IF(F55&lt;&gt;"",VLOOKUP(F55,'参加チーム'!$B$5:$F$73,IF($M$2=1,3,4),FALSE),"")</f>
      </c>
      <c r="H55" s="277">
        <f>IF(I55&lt;&gt;"",I55+I56,"")</f>
      </c>
      <c r="I55" s="278"/>
      <c r="J55" s="279" t="s">
        <v>80</v>
      </c>
      <c r="K55" s="278"/>
      <c r="L55" s="277">
        <f>IF(K55&lt;&gt;"",K55+K56,"")</f>
      </c>
      <c r="M55" s="275"/>
      <c r="N55" s="276">
        <f>IF(M55&lt;&gt;"",VLOOKUP(M55,'参加チーム'!$B$5:$F$73,3,FALSE),"")</f>
      </c>
      <c r="O55" s="280">
        <f>+N55</f>
      </c>
      <c r="P55" s="330">
        <f>+G59</f>
      </c>
      <c r="R55" s="96" t="str">
        <f>+"後"&amp;F55&amp;M55</f>
        <v>後</v>
      </c>
      <c r="S55" s="97">
        <f>IF(H55&lt;&gt;"",H55,"")</f>
      </c>
      <c r="T55" s="97">
        <f>IF(L55&lt;&gt;"",L55,"")</f>
      </c>
      <c r="U55" s="98">
        <f>+B55</f>
        <v>40455</v>
      </c>
    </row>
    <row r="56" spans="1:21" ht="14.25" customHeight="1">
      <c r="A56" s="282"/>
      <c r="B56" s="331"/>
      <c r="C56" s="332"/>
      <c r="D56" s="285"/>
      <c r="E56" s="286"/>
      <c r="F56" s="287">
        <f>IF(F55&lt;&gt;"",LEFT(VLOOKUP(F55,'参加チーム'!$B$5:$F$73,5,FALSE),2),"")</f>
      </c>
      <c r="G56" s="288"/>
      <c r="H56" s="286"/>
      <c r="I56" s="289"/>
      <c r="J56" s="290"/>
      <c r="K56" s="289"/>
      <c r="L56" s="286"/>
      <c r="M56" s="287">
        <f>IF(M55&lt;&gt;"",LEFT(VLOOKUP(M55,'参加チーム'!$B$5:$F$73,5,FALSE),2),"")</f>
      </c>
      <c r="N56" s="288"/>
      <c r="O56" s="291"/>
      <c r="P56" s="333"/>
      <c r="R56" s="99" t="str">
        <f>+"後"&amp;M55&amp;F55</f>
        <v>後</v>
      </c>
      <c r="S56" s="90">
        <f>IF(L55&lt;&gt;"",L55,"")</f>
      </c>
      <c r="T56" s="90">
        <f>IF(H55&lt;&gt;"",H55,"")</f>
      </c>
      <c r="U56" s="100">
        <f>+B55</f>
        <v>40455</v>
      </c>
    </row>
    <row r="57" spans="1:21" ht="14.25" customHeight="1">
      <c r="A57" s="282"/>
      <c r="B57" s="331"/>
      <c r="C57" s="332"/>
      <c r="D57" s="293">
        <v>2</v>
      </c>
      <c r="E57" s="294">
        <v>0.513888888888889</v>
      </c>
      <c r="F57" s="295"/>
      <c r="G57" s="296">
        <f>IF(F57&lt;&gt;"",VLOOKUP(F57,'参加チーム'!$B$5:$F$73,IF($M$2=1,3,4),FALSE),"")</f>
      </c>
      <c r="H57" s="297">
        <f>IF(I57&lt;&gt;"",I57+I58,"")</f>
      </c>
      <c r="I57" s="289"/>
      <c r="J57" s="298" t="s">
        <v>80</v>
      </c>
      <c r="K57" s="289"/>
      <c r="L57" s="297">
        <f>IF(K57&lt;&gt;"",K57+K58,"")</f>
      </c>
      <c r="M57" s="295"/>
      <c r="N57" s="296">
        <f>IF(M57&lt;&gt;"",VLOOKUP(M57,'参加チーム'!$B$5:$F$73,3,FALSE),"")</f>
      </c>
      <c r="O57" s="299">
        <f>+N57</f>
      </c>
      <c r="P57" s="333"/>
      <c r="R57" s="99" t="str">
        <f>+"後"&amp;F57&amp;M57</f>
        <v>後</v>
      </c>
      <c r="S57" s="90">
        <f>IF(H57&lt;&gt;"",H57,"")</f>
      </c>
      <c r="T57" s="90">
        <f>IF(L57&lt;&gt;"",L57,"")</f>
      </c>
      <c r="U57" s="100">
        <f>+B55</f>
        <v>40455</v>
      </c>
    </row>
    <row r="58" spans="1:21" ht="14.25" customHeight="1">
      <c r="A58" s="282"/>
      <c r="B58" s="331"/>
      <c r="C58" s="341" t="s">
        <v>221</v>
      </c>
      <c r="D58" s="285"/>
      <c r="E58" s="286"/>
      <c r="F58" s="287">
        <f>IF(F57&lt;&gt;"",LEFT(VLOOKUP(F57,'参加チーム'!$B$5:$F$73,5,FALSE),2),"")</f>
      </c>
      <c r="G58" s="288"/>
      <c r="H58" s="286"/>
      <c r="I58" s="289"/>
      <c r="J58" s="290"/>
      <c r="K58" s="289"/>
      <c r="L58" s="286"/>
      <c r="M58" s="287">
        <f>IF(M57&lt;&gt;"",LEFT(VLOOKUP(M57,'参加チーム'!$B$5:$F$73,5,FALSE),2),"")</f>
      </c>
      <c r="N58" s="288"/>
      <c r="O58" s="291"/>
      <c r="P58" s="333"/>
      <c r="R58" s="99" t="str">
        <f>+"後"&amp;M57&amp;F57</f>
        <v>後</v>
      </c>
      <c r="S58" s="90">
        <f>IF(L57&lt;&gt;"",L57,"")</f>
      </c>
      <c r="T58" s="90">
        <f>IF(H57&lt;&gt;"",H57,"")</f>
      </c>
      <c r="U58" s="100">
        <f>+B55</f>
        <v>40455</v>
      </c>
    </row>
    <row r="59" spans="1:21" ht="14.25">
      <c r="A59" s="282"/>
      <c r="B59" s="331"/>
      <c r="C59" s="345"/>
      <c r="D59" s="293">
        <v>3</v>
      </c>
      <c r="E59" s="294">
        <v>0.5902777777777778</v>
      </c>
      <c r="F59" s="295"/>
      <c r="G59" s="296">
        <f>IF(F59&lt;&gt;"",VLOOKUP(F59,'参加チーム'!$B$5:$F$73,IF($M$2=1,3,4),FALSE),"")</f>
      </c>
      <c r="H59" s="297">
        <f>IF(I59&lt;&gt;"",I59+I60,"")</f>
      </c>
      <c r="I59" s="289"/>
      <c r="J59" s="298" t="s">
        <v>80</v>
      </c>
      <c r="K59" s="289"/>
      <c r="L59" s="297">
        <f>IF(K59&lt;&gt;"",K59+K60,"")</f>
      </c>
      <c r="M59" s="295"/>
      <c r="N59" s="296">
        <f>IF(M59&lt;&gt;"",VLOOKUP(M59,'参加チーム'!$B$5:$F$73,3,FALSE),"")</f>
      </c>
      <c r="O59" s="299">
        <f>+N59</f>
      </c>
      <c r="P59" s="333"/>
      <c r="R59" s="99" t="str">
        <f>+"後"&amp;F59&amp;M59</f>
        <v>後</v>
      </c>
      <c r="S59" s="90">
        <f>IF(H59&lt;&gt;"",H59,"")</f>
      </c>
      <c r="T59" s="90">
        <f>IF(L59&lt;&gt;"",L59,"")</f>
      </c>
      <c r="U59" s="100">
        <f>+B55</f>
        <v>40455</v>
      </c>
    </row>
    <row r="60" spans="1:21" ht="15" thickBot="1">
      <c r="A60" s="303"/>
      <c r="B60" s="336"/>
      <c r="C60" s="346"/>
      <c r="D60" s="306"/>
      <c r="E60" s="307"/>
      <c r="F60" s="308">
        <f>IF(F59&lt;&gt;"",LEFT(VLOOKUP(F59,'参加チーム'!$B$5:$F$73,5,FALSE),2),"")</f>
      </c>
      <c r="G60" s="309"/>
      <c r="H60" s="307"/>
      <c r="I60" s="310"/>
      <c r="J60" s="311"/>
      <c r="K60" s="310"/>
      <c r="L60" s="307"/>
      <c r="M60" s="308">
        <f>IF(M59&lt;&gt;"",LEFT(VLOOKUP(M59,'参加チーム'!$B$5:$F$73,5,FALSE),2),"")</f>
      </c>
      <c r="N60" s="309"/>
      <c r="O60" s="312"/>
      <c r="P60" s="338"/>
      <c r="R60" s="102" t="str">
        <f>+"後"&amp;M59&amp;F59</f>
        <v>後</v>
      </c>
      <c r="S60" s="103">
        <f>IF(L59&lt;&gt;"",L59,"")</f>
      </c>
      <c r="T60" s="103">
        <f>IF(H59&lt;&gt;"",H59,"")</f>
      </c>
      <c r="U60" s="104">
        <f>+B55</f>
        <v>40455</v>
      </c>
    </row>
    <row r="61" spans="1:21" ht="14.25" customHeight="1">
      <c r="A61" s="270">
        <v>10</v>
      </c>
      <c r="B61" s="328">
        <v>40463</v>
      </c>
      <c r="C61" s="329" t="s">
        <v>101</v>
      </c>
      <c r="D61" s="273">
        <v>1</v>
      </c>
      <c r="E61" s="274">
        <v>0.4375</v>
      </c>
      <c r="F61" s="275"/>
      <c r="G61" s="276">
        <f>IF(F61&lt;&gt;"",VLOOKUP(F61,'参加チーム'!$B$5:$F$73,IF($M$2=1,3,4),FALSE),"")</f>
      </c>
      <c r="H61" s="277">
        <f>IF(I61&lt;&gt;"",I61+I62,"")</f>
      </c>
      <c r="I61" s="278"/>
      <c r="J61" s="279" t="s">
        <v>80</v>
      </c>
      <c r="K61" s="278"/>
      <c r="L61" s="277">
        <f>IF(K61&lt;&gt;"",K61+K62,"")</f>
      </c>
      <c r="M61" s="275"/>
      <c r="N61" s="276">
        <f>IF(M61&lt;&gt;"",VLOOKUP(M61,'参加チーム'!$B$5:$F$73,3,FALSE),"")</f>
      </c>
      <c r="O61" s="280">
        <f>+N61</f>
      </c>
      <c r="P61" s="330">
        <f>+G63</f>
      </c>
      <c r="R61" s="96" t="str">
        <f>+"後"&amp;F61&amp;M61</f>
        <v>後</v>
      </c>
      <c r="S61" s="97">
        <f>IF(H61&lt;&gt;"",H61,"")</f>
      </c>
      <c r="T61" s="97">
        <f>IF(L61&lt;&gt;"",L61,"")</f>
      </c>
      <c r="U61" s="98">
        <f>+B61</f>
        <v>40463</v>
      </c>
    </row>
    <row r="62" spans="1:21" ht="14.25" customHeight="1">
      <c r="A62" s="282"/>
      <c r="B62" s="331"/>
      <c r="C62" s="332"/>
      <c r="D62" s="285"/>
      <c r="E62" s="286"/>
      <c r="F62" s="287">
        <f>IF(F61&lt;&gt;"",LEFT(VLOOKUP(F61,'参加チーム'!$B$5:$F$73,5,FALSE),2),"")</f>
      </c>
      <c r="G62" s="288"/>
      <c r="H62" s="286"/>
      <c r="I62" s="289"/>
      <c r="J62" s="290"/>
      <c r="K62" s="289"/>
      <c r="L62" s="286"/>
      <c r="M62" s="287">
        <f>IF(M61&lt;&gt;"",LEFT(VLOOKUP(M61,'参加チーム'!$B$5:$F$73,5,FALSE),2),"")</f>
      </c>
      <c r="N62" s="288"/>
      <c r="O62" s="291"/>
      <c r="P62" s="333"/>
      <c r="R62" s="99" t="str">
        <f>+"後"&amp;M61&amp;F61</f>
        <v>後</v>
      </c>
      <c r="S62" s="90">
        <f>IF(L61&lt;&gt;"",L61,"")</f>
      </c>
      <c r="T62" s="90">
        <f>IF(H61&lt;&gt;"",H61,"")</f>
      </c>
      <c r="U62" s="100">
        <f>+B61</f>
        <v>40463</v>
      </c>
    </row>
    <row r="63" spans="1:21" ht="14.25" customHeight="1">
      <c r="A63" s="282"/>
      <c r="B63" s="331"/>
      <c r="C63" s="332"/>
      <c r="D63" s="293">
        <v>2</v>
      </c>
      <c r="E63" s="294">
        <v>0.513888888888889</v>
      </c>
      <c r="F63" s="295"/>
      <c r="G63" s="296">
        <f>IF(F63&lt;&gt;"",VLOOKUP(F63,'参加チーム'!$B$5:$F$73,IF($M$2=1,3,4),FALSE),"")</f>
      </c>
      <c r="H63" s="297">
        <f>IF(I63&lt;&gt;"",I63+I64,"")</f>
      </c>
      <c r="I63" s="289"/>
      <c r="J63" s="298" t="s">
        <v>80</v>
      </c>
      <c r="K63" s="289"/>
      <c r="L63" s="297">
        <f>IF(K63&lt;&gt;"",K63+K64,"")</f>
      </c>
      <c r="M63" s="295"/>
      <c r="N63" s="296">
        <f>IF(M63&lt;&gt;"",VLOOKUP(M63,'参加チーム'!$B$5:$F$73,3,FALSE),"")</f>
      </c>
      <c r="O63" s="299">
        <f>+N63</f>
      </c>
      <c r="P63" s="333"/>
      <c r="R63" s="99" t="str">
        <f>+"後"&amp;F63&amp;M63</f>
        <v>後</v>
      </c>
      <c r="S63" s="90">
        <f>IF(H63&lt;&gt;"",H63,"")</f>
      </c>
      <c r="T63" s="90">
        <f>IF(L63&lt;&gt;"",L63,"")</f>
      </c>
      <c r="U63" s="100">
        <f>+B61</f>
        <v>40463</v>
      </c>
    </row>
    <row r="64" spans="1:21" ht="14.25" customHeight="1">
      <c r="A64" s="282"/>
      <c r="B64" s="331"/>
      <c r="C64" s="334" t="s">
        <v>245</v>
      </c>
      <c r="D64" s="285"/>
      <c r="E64" s="286"/>
      <c r="F64" s="287">
        <f>IF(F63&lt;&gt;"",LEFT(VLOOKUP(F63,'参加チーム'!$B$5:$F$73,5,FALSE),2),"")</f>
      </c>
      <c r="G64" s="288"/>
      <c r="H64" s="286"/>
      <c r="I64" s="289"/>
      <c r="J64" s="290"/>
      <c r="K64" s="289"/>
      <c r="L64" s="286"/>
      <c r="M64" s="287">
        <f>IF(M63&lt;&gt;"",LEFT(VLOOKUP(M63,'参加チーム'!$B$5:$F$73,5,FALSE),2),"")</f>
      </c>
      <c r="N64" s="288"/>
      <c r="O64" s="291"/>
      <c r="P64" s="333"/>
      <c r="R64" s="99" t="str">
        <f>+"後"&amp;M63&amp;F63</f>
        <v>後</v>
      </c>
      <c r="S64" s="90">
        <f>IF(L63&lt;&gt;"",L63,"")</f>
      </c>
      <c r="T64" s="90">
        <f>IF(H63&lt;&gt;"",H63,"")</f>
      </c>
      <c r="U64" s="100">
        <f>+B61</f>
        <v>40463</v>
      </c>
    </row>
    <row r="65" spans="1:21" ht="14.25">
      <c r="A65" s="282"/>
      <c r="B65" s="331"/>
      <c r="C65" s="335"/>
      <c r="D65" s="293">
        <v>3</v>
      </c>
      <c r="E65" s="294">
        <v>0.5902777777777778</v>
      </c>
      <c r="F65" s="295"/>
      <c r="G65" s="296">
        <f>IF(F65&lt;&gt;"",VLOOKUP(F65,'参加チーム'!$B$5:$F$73,IF($M$2=1,3,4),FALSE),"")</f>
      </c>
      <c r="H65" s="297">
        <f>IF(I65&lt;&gt;"",I65+I66,"")</f>
      </c>
      <c r="I65" s="289"/>
      <c r="J65" s="298" t="s">
        <v>80</v>
      </c>
      <c r="K65" s="289"/>
      <c r="L65" s="297">
        <f>IF(K65&lt;&gt;"",K65+K66,"")</f>
      </c>
      <c r="M65" s="295"/>
      <c r="N65" s="296">
        <f>IF(M65&lt;&gt;"",VLOOKUP(M65,'参加チーム'!$B$5:$F$73,3,FALSE),"")</f>
      </c>
      <c r="O65" s="299">
        <f>+N65</f>
      </c>
      <c r="P65" s="333"/>
      <c r="R65" s="99" t="str">
        <f>+"後"&amp;F65&amp;M65</f>
        <v>後</v>
      </c>
      <c r="S65" s="90">
        <f>IF(H65&lt;&gt;"",H65,"")</f>
      </c>
      <c r="T65" s="90">
        <f>IF(L65&lt;&gt;"",L65,"")</f>
      </c>
      <c r="U65" s="100">
        <f>+B61</f>
        <v>40463</v>
      </c>
    </row>
    <row r="66" spans="1:21" ht="15" thickBot="1">
      <c r="A66" s="303"/>
      <c r="B66" s="336"/>
      <c r="C66" s="337"/>
      <c r="D66" s="306"/>
      <c r="E66" s="307"/>
      <c r="F66" s="308">
        <f>IF(F65&lt;&gt;"",LEFT(VLOOKUP(F65,'参加チーム'!$B$5:$F$73,5,FALSE),2),"")</f>
      </c>
      <c r="G66" s="309"/>
      <c r="H66" s="307"/>
      <c r="I66" s="310"/>
      <c r="J66" s="311"/>
      <c r="K66" s="310"/>
      <c r="L66" s="307"/>
      <c r="M66" s="308">
        <f>IF(M65&lt;&gt;"",LEFT(VLOOKUP(M65,'参加チーム'!$B$5:$F$73,5,FALSE),2),"")</f>
      </c>
      <c r="N66" s="309"/>
      <c r="O66" s="312"/>
      <c r="P66" s="338"/>
      <c r="R66" s="102" t="str">
        <f>+"後"&amp;M65&amp;F65</f>
        <v>後</v>
      </c>
      <c r="S66" s="103">
        <f>IF(L65&lt;&gt;"",L65,"")</f>
      </c>
      <c r="T66" s="103">
        <f>IF(H65&lt;&gt;"",H65,"")</f>
      </c>
      <c r="U66" s="104">
        <f>+B61</f>
        <v>40463</v>
      </c>
    </row>
    <row r="67" spans="1:16" ht="14.25">
      <c r="A67" s="262"/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</sheetData>
  <sheetProtection/>
  <mergeCells count="292">
    <mergeCell ref="E65:E66"/>
    <mergeCell ref="G65:G66"/>
    <mergeCell ref="H65:H66"/>
    <mergeCell ref="J65:J66"/>
    <mergeCell ref="E63:E64"/>
    <mergeCell ref="G63:G64"/>
    <mergeCell ref="H63:H64"/>
    <mergeCell ref="J63:J64"/>
    <mergeCell ref="P61:P66"/>
    <mergeCell ref="L63:L64"/>
    <mergeCell ref="N63:N64"/>
    <mergeCell ref="O63:O64"/>
    <mergeCell ref="L65:L66"/>
    <mergeCell ref="N65:N66"/>
    <mergeCell ref="O65:O66"/>
    <mergeCell ref="N61:N62"/>
    <mergeCell ref="O61:O62"/>
    <mergeCell ref="E61:E62"/>
    <mergeCell ref="G61:G62"/>
    <mergeCell ref="H61:H62"/>
    <mergeCell ref="E59:E60"/>
    <mergeCell ref="G59:G60"/>
    <mergeCell ref="H59:H60"/>
    <mergeCell ref="J59:J60"/>
    <mergeCell ref="J61:J62"/>
    <mergeCell ref="L61:L62"/>
    <mergeCell ref="A61:A66"/>
    <mergeCell ref="B61:B66"/>
    <mergeCell ref="C61:C63"/>
    <mergeCell ref="D61:D62"/>
    <mergeCell ref="D63:D64"/>
    <mergeCell ref="C64:C66"/>
    <mergeCell ref="D65:D66"/>
    <mergeCell ref="E57:E58"/>
    <mergeCell ref="G57:G58"/>
    <mergeCell ref="H57:H58"/>
    <mergeCell ref="J57:J58"/>
    <mergeCell ref="E55:E56"/>
    <mergeCell ref="G55:G56"/>
    <mergeCell ref="H55:H56"/>
    <mergeCell ref="J55:J56"/>
    <mergeCell ref="P55:P60"/>
    <mergeCell ref="L57:L58"/>
    <mergeCell ref="N57:N58"/>
    <mergeCell ref="O57:O58"/>
    <mergeCell ref="L59:L60"/>
    <mergeCell ref="N59:N60"/>
    <mergeCell ref="O59:O60"/>
    <mergeCell ref="L55:L56"/>
    <mergeCell ref="N55:N56"/>
    <mergeCell ref="O55:O56"/>
    <mergeCell ref="A55:A60"/>
    <mergeCell ref="B55:B60"/>
    <mergeCell ref="C55:C57"/>
    <mergeCell ref="D55:D56"/>
    <mergeCell ref="D57:D58"/>
    <mergeCell ref="C58:C60"/>
    <mergeCell ref="D59:D60"/>
    <mergeCell ref="P49:P54"/>
    <mergeCell ref="L51:L52"/>
    <mergeCell ref="N51:N52"/>
    <mergeCell ref="O51:O52"/>
    <mergeCell ref="L53:L54"/>
    <mergeCell ref="N53:N54"/>
    <mergeCell ref="O53:O54"/>
    <mergeCell ref="L49:L50"/>
    <mergeCell ref="N49:N50"/>
    <mergeCell ref="O49:O50"/>
    <mergeCell ref="E53:E54"/>
    <mergeCell ref="G53:G54"/>
    <mergeCell ref="H53:H54"/>
    <mergeCell ref="J53:J54"/>
    <mergeCell ref="E51:E52"/>
    <mergeCell ref="G51:G52"/>
    <mergeCell ref="H51:H52"/>
    <mergeCell ref="J51:J52"/>
    <mergeCell ref="E47:E48"/>
    <mergeCell ref="G47:G48"/>
    <mergeCell ref="H47:H48"/>
    <mergeCell ref="J47:J48"/>
    <mergeCell ref="G49:G50"/>
    <mergeCell ref="H49:H50"/>
    <mergeCell ref="J49:J50"/>
    <mergeCell ref="E49:E50"/>
    <mergeCell ref="A49:A54"/>
    <mergeCell ref="B49:B54"/>
    <mergeCell ref="C49:C51"/>
    <mergeCell ref="D49:D50"/>
    <mergeCell ref="D51:D52"/>
    <mergeCell ref="C52:C54"/>
    <mergeCell ref="D53:D54"/>
    <mergeCell ref="G43:G44"/>
    <mergeCell ref="H43:H44"/>
    <mergeCell ref="J43:J44"/>
    <mergeCell ref="E45:E46"/>
    <mergeCell ref="G45:G46"/>
    <mergeCell ref="H45:H46"/>
    <mergeCell ref="J45:J46"/>
    <mergeCell ref="P43:P48"/>
    <mergeCell ref="L45:L46"/>
    <mergeCell ref="N45:N46"/>
    <mergeCell ref="O45:O46"/>
    <mergeCell ref="L47:L48"/>
    <mergeCell ref="N47:N48"/>
    <mergeCell ref="O47:O48"/>
    <mergeCell ref="L43:L44"/>
    <mergeCell ref="N43:N44"/>
    <mergeCell ref="O43:O44"/>
    <mergeCell ref="N41:N42"/>
    <mergeCell ref="O41:O42"/>
    <mergeCell ref="A43:A48"/>
    <mergeCell ref="B43:B48"/>
    <mergeCell ref="C43:C45"/>
    <mergeCell ref="D43:D44"/>
    <mergeCell ref="D45:D46"/>
    <mergeCell ref="C46:C48"/>
    <mergeCell ref="D47:D48"/>
    <mergeCell ref="E43:E44"/>
    <mergeCell ref="P37:P42"/>
    <mergeCell ref="D39:D40"/>
    <mergeCell ref="E39:E40"/>
    <mergeCell ref="G39:G40"/>
    <mergeCell ref="H39:H40"/>
    <mergeCell ref="J39:J40"/>
    <mergeCell ref="L39:L40"/>
    <mergeCell ref="N39:N40"/>
    <mergeCell ref="D41:D42"/>
    <mergeCell ref="E41:E42"/>
    <mergeCell ref="O39:O40"/>
    <mergeCell ref="L41:L42"/>
    <mergeCell ref="G37:G38"/>
    <mergeCell ref="H37:H38"/>
    <mergeCell ref="J37:J38"/>
    <mergeCell ref="L37:L38"/>
    <mergeCell ref="N37:N38"/>
    <mergeCell ref="O37:O38"/>
    <mergeCell ref="H41:H42"/>
    <mergeCell ref="J41:J42"/>
    <mergeCell ref="A37:A42"/>
    <mergeCell ref="B37:B42"/>
    <mergeCell ref="C37:C39"/>
    <mergeCell ref="D37:D38"/>
    <mergeCell ref="C40:C42"/>
    <mergeCell ref="P28:P33"/>
    <mergeCell ref="L30:L31"/>
    <mergeCell ref="N30:N31"/>
    <mergeCell ref="O30:O31"/>
    <mergeCell ref="L32:L33"/>
    <mergeCell ref="N32:N33"/>
    <mergeCell ref="L28:L29"/>
    <mergeCell ref="G41:G42"/>
    <mergeCell ref="N28:N29"/>
    <mergeCell ref="O28:O29"/>
    <mergeCell ref="E32:E33"/>
    <mergeCell ref="G32:G33"/>
    <mergeCell ref="H32:H33"/>
    <mergeCell ref="J32:J33"/>
    <mergeCell ref="H36:L36"/>
    <mergeCell ref="E37:E38"/>
    <mergeCell ref="O32:O33"/>
    <mergeCell ref="J26:J27"/>
    <mergeCell ref="J28:J29"/>
    <mergeCell ref="E30:E31"/>
    <mergeCell ref="G30:G31"/>
    <mergeCell ref="H30:H31"/>
    <mergeCell ref="J30:J31"/>
    <mergeCell ref="G28:G29"/>
    <mergeCell ref="H28:H29"/>
    <mergeCell ref="A28:A33"/>
    <mergeCell ref="B28:B33"/>
    <mergeCell ref="C28:C30"/>
    <mergeCell ref="D28:D29"/>
    <mergeCell ref="D30:D31"/>
    <mergeCell ref="C31:C33"/>
    <mergeCell ref="D32:D33"/>
    <mergeCell ref="J24:J25"/>
    <mergeCell ref="E22:E23"/>
    <mergeCell ref="G22:G23"/>
    <mergeCell ref="H22:H23"/>
    <mergeCell ref="J22:J23"/>
    <mergeCell ref="E28:E29"/>
    <mergeCell ref="G24:G25"/>
    <mergeCell ref="H24:H25"/>
    <mergeCell ref="G26:G27"/>
    <mergeCell ref="H26:H27"/>
    <mergeCell ref="P22:P27"/>
    <mergeCell ref="L24:L25"/>
    <mergeCell ref="N24:N25"/>
    <mergeCell ref="O24:O25"/>
    <mergeCell ref="L26:L27"/>
    <mergeCell ref="N26:N27"/>
    <mergeCell ref="O26:O27"/>
    <mergeCell ref="L22:L23"/>
    <mergeCell ref="N22:N23"/>
    <mergeCell ref="O22:O23"/>
    <mergeCell ref="E16:E17"/>
    <mergeCell ref="A22:A27"/>
    <mergeCell ref="B22:B27"/>
    <mergeCell ref="C22:C24"/>
    <mergeCell ref="D22:D23"/>
    <mergeCell ref="D24:D25"/>
    <mergeCell ref="C25:C27"/>
    <mergeCell ref="D26:D27"/>
    <mergeCell ref="E24:E25"/>
    <mergeCell ref="E26:E27"/>
    <mergeCell ref="J20:J21"/>
    <mergeCell ref="E18:E19"/>
    <mergeCell ref="G18:G19"/>
    <mergeCell ref="H18:H19"/>
    <mergeCell ref="J18:J19"/>
    <mergeCell ref="E20:E21"/>
    <mergeCell ref="G20:G21"/>
    <mergeCell ref="H20:H21"/>
    <mergeCell ref="N16:N17"/>
    <mergeCell ref="O16:O17"/>
    <mergeCell ref="P16:P21"/>
    <mergeCell ref="L18:L19"/>
    <mergeCell ref="N18:N19"/>
    <mergeCell ref="O18:O19"/>
    <mergeCell ref="L20:L21"/>
    <mergeCell ref="N20:N21"/>
    <mergeCell ref="O20:O21"/>
    <mergeCell ref="L16:L17"/>
    <mergeCell ref="G16:G17"/>
    <mergeCell ref="H16:H17"/>
    <mergeCell ref="J16:J17"/>
    <mergeCell ref="A16:A21"/>
    <mergeCell ref="B16:B21"/>
    <mergeCell ref="C16:C18"/>
    <mergeCell ref="D16:D17"/>
    <mergeCell ref="D18:D19"/>
    <mergeCell ref="C19:C21"/>
    <mergeCell ref="D20:D21"/>
    <mergeCell ref="O12:O13"/>
    <mergeCell ref="H14:H15"/>
    <mergeCell ref="O14:O15"/>
    <mergeCell ref="C13:C15"/>
    <mergeCell ref="D14:D15"/>
    <mergeCell ref="E14:E15"/>
    <mergeCell ref="G14:G15"/>
    <mergeCell ref="J14:J15"/>
    <mergeCell ref="L14:L15"/>
    <mergeCell ref="N14:N15"/>
    <mergeCell ref="A10:A15"/>
    <mergeCell ref="B10:B15"/>
    <mergeCell ref="P10:P15"/>
    <mergeCell ref="D12:D13"/>
    <mergeCell ref="E12:E13"/>
    <mergeCell ref="G12:G13"/>
    <mergeCell ref="H12:H13"/>
    <mergeCell ref="J12:J13"/>
    <mergeCell ref="L12:L13"/>
    <mergeCell ref="N12:N13"/>
    <mergeCell ref="E10:E11"/>
    <mergeCell ref="G10:G11"/>
    <mergeCell ref="H10:H11"/>
    <mergeCell ref="H6:H7"/>
    <mergeCell ref="B4:B9"/>
    <mergeCell ref="A4:A9"/>
    <mergeCell ref="D8:D9"/>
    <mergeCell ref="E8:E9"/>
    <mergeCell ref="C4:C6"/>
    <mergeCell ref="C7:C9"/>
    <mergeCell ref="G6:G7"/>
    <mergeCell ref="E4:E5"/>
    <mergeCell ref="C10:C12"/>
    <mergeCell ref="D10:D11"/>
    <mergeCell ref="N6:N7"/>
    <mergeCell ref="O6:O7"/>
    <mergeCell ref="J10:J11"/>
    <mergeCell ref="L10:L11"/>
    <mergeCell ref="N10:N11"/>
    <mergeCell ref="O10:O11"/>
    <mergeCell ref="G8:G9"/>
    <mergeCell ref="H8:H9"/>
    <mergeCell ref="J8:J9"/>
    <mergeCell ref="L8:L9"/>
    <mergeCell ref="N8:N9"/>
    <mergeCell ref="D4:D5"/>
    <mergeCell ref="D6:D7"/>
    <mergeCell ref="E6:E7"/>
    <mergeCell ref="N4:N5"/>
    <mergeCell ref="G4:G5"/>
    <mergeCell ref="H3:L3"/>
    <mergeCell ref="H4:H5"/>
    <mergeCell ref="J4:J5"/>
    <mergeCell ref="L4:L5"/>
    <mergeCell ref="P4:P9"/>
    <mergeCell ref="O4:O5"/>
    <mergeCell ref="O8:O9"/>
    <mergeCell ref="J6:J7"/>
    <mergeCell ref="L6:L7"/>
  </mergeCells>
  <printOptions horizontalCentered="1" verticalCentered="1"/>
  <pageMargins left="0.3937007874015748" right="0.3937007874015748" top="0.3937007874015748" bottom="0.3937007874015748" header="0.1968503937007874" footer="0.1968503937007874"/>
  <pageSetup orientation="landscape" paperSize="9" r:id="rId1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BANFFSPORTS :</dc:creator>
  <cp:keywords/>
  <dc:description/>
  <cp:lastModifiedBy>tobias</cp:lastModifiedBy>
  <cp:lastPrinted>2014-04-22T17:10:36Z</cp:lastPrinted>
  <dcterms:created xsi:type="dcterms:W3CDTF">2008-04-12T02:31:38Z</dcterms:created>
  <dcterms:modified xsi:type="dcterms:W3CDTF">2014-04-22T17:14:27Z</dcterms:modified>
  <cp:category/>
  <cp:version/>
  <cp:contentType/>
  <cp:contentStatus/>
</cp:coreProperties>
</file>