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35" yWindow="65506" windowWidth="18000" windowHeight="7920" tabRatio="809" firstSheet="1" activeTab="4"/>
  </bookViews>
  <sheets>
    <sheet name="参加チーム" sheetId="1" r:id="rId1"/>
    <sheet name="１部" sheetId="2" r:id="rId2"/>
    <sheet name="１部対戦表" sheetId="3" r:id="rId3"/>
    <sheet name="２部北" sheetId="4" r:id="rId4"/>
    <sheet name="２部北対戦表" sheetId="5" r:id="rId5"/>
    <sheet name="２部南 " sheetId="6" r:id="rId6"/>
    <sheet name="２部南対戦表" sheetId="7" r:id="rId7"/>
  </sheets>
  <definedNames>
    <definedName name="_xlnm.Print_Area" localSheetId="1">'１部'!$B$1:$AX$37</definedName>
    <definedName name="_xlnm.Print_Area" localSheetId="2">'１部対戦表'!$A$63:$Q$120</definedName>
    <definedName name="_xlnm.Print_Area" localSheetId="5">'２部南 '!$B$1:$AN$29</definedName>
    <definedName name="_xlnm.Print_Area" localSheetId="6">'２部南対戦表'!$A$35:$Q$66</definedName>
    <definedName name="_xlnm.Print_Area" localSheetId="3">'２部北'!$B$1:$AN$29</definedName>
    <definedName name="_xlnm.Print_Area" localSheetId="4">'２部北対戦表'!$A$35:$Q$66</definedName>
    <definedName name="_xlnm.Print_Area" localSheetId="0">'参加チーム'!$B$2:$G$71,'参加チーム'!$C$75:$G$114</definedName>
    <definedName name="_xlnm.Print_Titles" localSheetId="2">'１部対戦表'!$1:$1</definedName>
    <definedName name="_xlnm.Print_Titles" localSheetId="6">'２部南対戦表'!$1:$1</definedName>
    <definedName name="_xlnm.Print_Titles" localSheetId="4">'２部北対戦表'!$1:$1</definedName>
  </definedNames>
  <calcPr fullCalcOnLoad="1"/>
</workbook>
</file>

<file path=xl/sharedStrings.xml><?xml version="1.0" encoding="utf-8"?>
<sst xmlns="http://schemas.openxmlformats.org/spreadsheetml/2006/main" count="1428" uniqueCount="317">
  <si>
    <t>△</t>
  </si>
  <si>
    <t>↓下へ表全体の値だけコピーし
順位などで並べ替えると
表全体が並べ替えられます</t>
  </si>
  <si>
    <t>南Ｂ</t>
  </si>
  <si>
    <t>南Ｃ</t>
  </si>
  <si>
    <t>南Ｄ</t>
  </si>
  <si>
    <t>D-GUCCI</t>
  </si>
  <si>
    <t>南Ｅ</t>
  </si>
  <si>
    <t>南Ｆ</t>
  </si>
  <si>
    <t>北Ａ</t>
  </si>
  <si>
    <t>北Ｂ</t>
  </si>
  <si>
    <t>北Ｃ</t>
  </si>
  <si>
    <t>北Ｄ</t>
  </si>
  <si>
    <t>北Ｅ</t>
  </si>
  <si>
    <t>北Ｆ</t>
  </si>
  <si>
    <t>並べ替え機能です</t>
  </si>
  <si>
    <t>H</t>
  </si>
  <si>
    <t>北Ｄ</t>
  </si>
  <si>
    <t>北Ａ</t>
  </si>
  <si>
    <t>北Ｅ</t>
  </si>
  <si>
    <t>北Ｆ</t>
  </si>
  <si>
    <t>北Ｂ</t>
  </si>
  <si>
    <t>北Ｃ</t>
  </si>
  <si>
    <t>南Ｆ</t>
  </si>
  <si>
    <t>Ｂ</t>
  </si>
  <si>
    <t>Ｂ</t>
  </si>
  <si>
    <t>Ｃ</t>
  </si>
  <si>
    <t>Ｄ</t>
  </si>
  <si>
    <t>Ｄ</t>
  </si>
  <si>
    <t>Ｅ</t>
  </si>
  <si>
    <t>Ｅ</t>
  </si>
  <si>
    <t>Ｆ</t>
  </si>
  <si>
    <t>Ａ</t>
  </si>
  <si>
    <t>かちかち山</t>
  </si>
  <si>
    <t>福島県</t>
  </si>
  <si>
    <t>宮城県</t>
  </si>
  <si>
    <t>青森県</t>
  </si>
  <si>
    <t>南Ｂ</t>
  </si>
  <si>
    <t>南Ｃ</t>
  </si>
  <si>
    <t>南Ｄ</t>
  </si>
  <si>
    <t>南Ｅ</t>
  </si>
  <si>
    <t>南Ｆ</t>
  </si>
  <si>
    <t>北Ｆ</t>
  </si>
  <si>
    <t>東山総合
体育館</t>
  </si>
  <si>
    <t>Ｃ</t>
  </si>
  <si>
    <t>Ｅ</t>
  </si>
  <si>
    <t>Ｂ</t>
  </si>
  <si>
    <t>Ｆ</t>
  </si>
  <si>
    <t>Ａ</t>
  </si>
  <si>
    <t>Ｄ</t>
  </si>
  <si>
    <t>南Ａ</t>
  </si>
  <si>
    <t>Sabedoria</t>
  </si>
  <si>
    <t>会場担当</t>
  </si>
  <si>
    <t>日付</t>
  </si>
  <si>
    <t>会場</t>
  </si>
  <si>
    <t>時間</t>
  </si>
  <si>
    <t>対戦</t>
  </si>
  <si>
    <t>青森</t>
  </si>
  <si>
    <t>岩手</t>
  </si>
  <si>
    <t>秋田</t>
  </si>
  <si>
    <t>山形</t>
  </si>
  <si>
    <t/>
  </si>
  <si>
    <t>１部リーグ</t>
  </si>
  <si>
    <t>２部南東北リーグ</t>
  </si>
  <si>
    <t>２部北東北リーグ</t>
  </si>
  <si>
    <t>チーム名</t>
  </si>
  <si>
    <t>略称</t>
  </si>
  <si>
    <t>所属連盟</t>
  </si>
  <si>
    <t>宮城県</t>
  </si>
  <si>
    <t>福島県</t>
  </si>
  <si>
    <t>南Ａ</t>
  </si>
  <si>
    <t>北Ａ</t>
  </si>
  <si>
    <t>北Ｂ</t>
  </si>
  <si>
    <t>北Ｃ</t>
  </si>
  <si>
    <t>北Ｄ</t>
  </si>
  <si>
    <t>北Ｅ</t>
  </si>
  <si>
    <t>勝</t>
  </si>
  <si>
    <t>分</t>
  </si>
  <si>
    <t>負</t>
  </si>
  <si>
    <t>勝点</t>
  </si>
  <si>
    <t>得点</t>
  </si>
  <si>
    <t>失点</t>
  </si>
  <si>
    <t>点差</t>
  </si>
  <si>
    <t>順位</t>
  </si>
  <si>
    <r>
      <t>※勝点</t>
    </r>
    <r>
      <rPr>
        <sz val="10"/>
        <rFont val="ＭＳ Ｐゴシック"/>
        <family val="3"/>
      </rPr>
      <t>　　　　　　勝ち○＝３　　引き分け△＝１　　負け●＝０</t>
    </r>
  </si>
  <si>
    <t>（</t>
  </si>
  <si>
    <t>）</t>
  </si>
  <si>
    <t>対</t>
  </si>
  <si>
    <t>宮城</t>
  </si>
  <si>
    <t>検索用</t>
  </si>
  <si>
    <t>No.</t>
  </si>
  <si>
    <t>チーム</t>
  </si>
  <si>
    <t>チーム</t>
  </si>
  <si>
    <t>勝</t>
  </si>
  <si>
    <t>分</t>
  </si>
  <si>
    <t>負</t>
  </si>
  <si>
    <t>点</t>
  </si>
  <si>
    <t>得点</t>
  </si>
  <si>
    <t>失点</t>
  </si>
  <si>
    <t>点差</t>
  </si>
  <si>
    <t>前期組合せ</t>
  </si>
  <si>
    <t>後期組合せ</t>
  </si>
  <si>
    <t>No.</t>
  </si>
  <si>
    <t>チーム</t>
  </si>
  <si>
    <t>チーム</t>
  </si>
  <si>
    <t>ランク</t>
  </si>
  <si>
    <t>南Ａ</t>
  </si>
  <si>
    <t>南Ｃ</t>
  </si>
  <si>
    <t>福島</t>
  </si>
  <si>
    <t>チーム名</t>
  </si>
  <si>
    <t>懲罰</t>
  </si>
  <si>
    <t>H</t>
  </si>
  <si>
    <t>Ｆ</t>
  </si>
  <si>
    <t>G</t>
  </si>
  <si>
    <t>日本語表記</t>
  </si>
  <si>
    <t>Itatica八戸</t>
  </si>
  <si>
    <t>東北大学</t>
  </si>
  <si>
    <t>G</t>
  </si>
  <si>
    <t>H</t>
  </si>
  <si>
    <t>スコア入力</t>
  </si>
  <si>
    <t>本宮市総合
体育館</t>
  </si>
  <si>
    <t>対</t>
  </si>
  <si>
    <t>塩釜ガス
体育館</t>
  </si>
  <si>
    <t>コード</t>
  </si>
  <si>
    <t>並べ変え機能です</t>
  </si>
  <si>
    <t>↓下へ表全体を値だけコピーし
順位などで並べ替えると
表全体が並べ替えられます</t>
  </si>
  <si>
    <t>西部第二
体育館</t>
  </si>
  <si>
    <t>南Ｄ</t>
  </si>
  <si>
    <t>南Ｅ</t>
  </si>
  <si>
    <t>南Ｆ</t>
  </si>
  <si>
    <t>南Ｂ</t>
  </si>
  <si>
    <t>順位
補正</t>
  </si>
  <si>
    <t>○</t>
  </si>
  <si>
    <t>●</t>
  </si>
  <si>
    <t>　</t>
  </si>
  <si>
    <t>古川総合
体育館</t>
  </si>
  <si>
    <t>秋田県</t>
  </si>
  <si>
    <t>No.</t>
  </si>
  <si>
    <t>チーム</t>
  </si>
  <si>
    <t>チーム</t>
  </si>
  <si>
    <t>○</t>
  </si>
  <si>
    <t>●</t>
  </si>
  <si>
    <t>ランク</t>
  </si>
  <si>
    <t>大館樹海
体育館</t>
  </si>
  <si>
    <t>-</t>
  </si>
  <si>
    <t>かちかち山</t>
  </si>
  <si>
    <t>volviendo</t>
  </si>
  <si>
    <t>azul</t>
  </si>
  <si>
    <t>カメレオン</t>
  </si>
  <si>
    <t>アトレチコ</t>
  </si>
  <si>
    <t>malva</t>
  </si>
  <si>
    <t>Itatica</t>
  </si>
  <si>
    <t>BANFF</t>
  </si>
  <si>
    <t>ステラミーゴ</t>
  </si>
  <si>
    <t>CROSS</t>
  </si>
  <si>
    <t>ヴィヴァーレ</t>
  </si>
  <si>
    <t>Rion</t>
  </si>
  <si>
    <t>岩手県</t>
  </si>
  <si>
    <t>ヴォスクオーレ</t>
  </si>
  <si>
    <t>Zoorasia</t>
  </si>
  <si>
    <t>Carioca</t>
  </si>
  <si>
    <t>１部</t>
  </si>
  <si>
    <t>２部北</t>
  </si>
  <si>
    <t>２部南</t>
  </si>
  <si>
    <t>第12回東北フットサルリーグ１部　対戦表</t>
  </si>
  <si>
    <t>第12回東北フットサルリーグ１部　成績表</t>
  </si>
  <si>
    <t>第12回東北フットサルリーグ</t>
  </si>
  <si>
    <t>第12回東北フットサルリーグ２部北　成績表</t>
  </si>
  <si>
    <t>第12回東北フットサルリーグ２部北　対戦表</t>
  </si>
  <si>
    <t>第12回東北フットサルリーグ２部南　成績表</t>
  </si>
  <si>
    <t>第12回東北フットサルリーグ２部南　対戦表</t>
  </si>
  <si>
    <t>湯沢市総合
体育館</t>
  </si>
  <si>
    <t>一関市総合
体育館</t>
  </si>
  <si>
    <t>マエダ
アリーナ</t>
  </si>
  <si>
    <t>長根体育館</t>
  </si>
  <si>
    <t>バンフ</t>
  </si>
  <si>
    <t>malva</t>
  </si>
  <si>
    <t>マルバ</t>
  </si>
  <si>
    <t>山形県</t>
  </si>
  <si>
    <t>サベドリーア</t>
  </si>
  <si>
    <t>volviendo</t>
  </si>
  <si>
    <t>ヴォルビエント</t>
  </si>
  <si>
    <t>CROSS</t>
  </si>
  <si>
    <t>クロス</t>
  </si>
  <si>
    <t>岩手県</t>
  </si>
  <si>
    <t>バンフ　センダイ</t>
  </si>
  <si>
    <t>ヴォスクオーレセンダイサテライト</t>
  </si>
  <si>
    <t>カチカチヤマ</t>
  </si>
  <si>
    <t>マルバヤマガタエフシー</t>
  </si>
  <si>
    <t>サベドリーア</t>
  </si>
  <si>
    <t>ヴォルビエントコオリヤマ</t>
  </si>
  <si>
    <t>トウホクダイガクフットサルクラブ　ディーグッチ</t>
  </si>
  <si>
    <t>クロス　カラーズ</t>
  </si>
  <si>
    <t>ズーラシア　エス・エフ・ティー</t>
  </si>
  <si>
    <t>Zoorasia S.F.T</t>
  </si>
  <si>
    <t>アトレチココオリヤマ</t>
  </si>
  <si>
    <t>アスール　エル　シエロ</t>
  </si>
  <si>
    <t>azul el cielo</t>
  </si>
  <si>
    <t>ウルティモ</t>
  </si>
  <si>
    <t>ULTIMO</t>
  </si>
  <si>
    <t>カミノヤマカメレオンエフシー</t>
  </si>
  <si>
    <t>上山カメレオンFC</t>
  </si>
  <si>
    <t>クラッキテンドウ</t>
  </si>
  <si>
    <t>Zoorasia</t>
  </si>
  <si>
    <t>ズーラシア</t>
  </si>
  <si>
    <t>宮城県</t>
  </si>
  <si>
    <t>アトレチコ</t>
  </si>
  <si>
    <t>azul</t>
  </si>
  <si>
    <t>アスール</t>
  </si>
  <si>
    <t>ULTIMO</t>
  </si>
  <si>
    <t>ウルティモ</t>
  </si>
  <si>
    <t>カメレオン</t>
  </si>
  <si>
    <t>Craque</t>
  </si>
  <si>
    <t>クラッキ</t>
  </si>
  <si>
    <t>イタチカハチノヘ</t>
  </si>
  <si>
    <t>ヴィヴァーレイチノセキ</t>
  </si>
  <si>
    <t>カリオカアオモリ</t>
  </si>
  <si>
    <t>ステラミーゴイワテハナマキ／エーエムブイ</t>
  </si>
  <si>
    <t>エフ・リオンキミマチ</t>
  </si>
  <si>
    <t>ピエトラ</t>
  </si>
  <si>
    <t>Itatica</t>
  </si>
  <si>
    <t>イタチカ</t>
  </si>
  <si>
    <t>ヴィヴァーレ</t>
  </si>
  <si>
    <t>Carioca</t>
  </si>
  <si>
    <t>カリオカ</t>
  </si>
  <si>
    <t>ステラミーゴ</t>
  </si>
  <si>
    <t>Rion</t>
  </si>
  <si>
    <t>リオン</t>
  </si>
  <si>
    <t>PIETRA</t>
  </si>
  <si>
    <t>ピエトラ</t>
  </si>
  <si>
    <t>一関市総合体育館</t>
  </si>
  <si>
    <t>滝沢総合
公園体育館</t>
  </si>
  <si>
    <t>上山市体育文化ｾﾝﾀｰ</t>
  </si>
  <si>
    <t>本宮市総合体育館</t>
  </si>
  <si>
    <t>Ａ</t>
  </si>
  <si>
    <t>Ｅ</t>
  </si>
  <si>
    <t>古川総合</t>
  </si>
  <si>
    <t>大館樹海
体育館</t>
  </si>
  <si>
    <t>マエダ
アリーナ</t>
  </si>
  <si>
    <t>岩手県営
体育館</t>
  </si>
  <si>
    <t>上山市生涯
学習センター</t>
  </si>
  <si>
    <t>小野町民
体育館</t>
  </si>
  <si>
    <t>本宮市総合
体育館</t>
  </si>
  <si>
    <t>南陽市民
体育館</t>
  </si>
  <si>
    <t>Ｃ</t>
  </si>
  <si>
    <t>Ａ</t>
  </si>
  <si>
    <t>Ｅ</t>
  </si>
  <si>
    <t>G</t>
  </si>
  <si>
    <t>Ｆ</t>
  </si>
  <si>
    <t>Ａ</t>
  </si>
  <si>
    <t>ULTIMO</t>
  </si>
  <si>
    <t>ヴィヴァーレ一関</t>
  </si>
  <si>
    <t>Ｆ・Ｒｉｏｎきみまち</t>
  </si>
  <si>
    <t>CROSS COLOURS</t>
  </si>
  <si>
    <t>D-GUCCI</t>
  </si>
  <si>
    <t>PIETRA</t>
  </si>
  <si>
    <t>ヴォスクオーレ</t>
  </si>
  <si>
    <t>Sabedoria</t>
  </si>
  <si>
    <t>ｖｏｌｖｉｅｎｄｏ郡山</t>
  </si>
  <si>
    <t>ＢＡＮＦＦ ＳＥＮＤＡＩ</t>
  </si>
  <si>
    <t>東北大学フットサル部D-GUCCI</t>
  </si>
  <si>
    <t>ヴォスクオーレ仙台　サテライト</t>
  </si>
  <si>
    <t>malva山形fc</t>
  </si>
  <si>
    <t>アトレチコ　郡山</t>
  </si>
  <si>
    <t>Ｃｒａｑｕｅ天童</t>
  </si>
  <si>
    <t>Ｃａｒｉｏｃａ　青森</t>
  </si>
  <si>
    <t>ステラミーゴいわて花巻/AMV</t>
  </si>
  <si>
    <t>PIETRA</t>
  </si>
  <si>
    <t>Craque</t>
  </si>
  <si>
    <t>東北リーグＦＤＳ公開用ＵＲＬ</t>
  </si>
  <si>
    <t>東北リーグ３リーグまとめ公開用ＵＲＬ</t>
  </si>
  <si>
    <t>日程・結果</t>
  </si>
  <si>
    <t>会場一覧</t>
  </si>
  <si>
    <t>順位表（リーグ戦のみ）</t>
  </si>
  <si>
    <t>星取表（リーグ戦のみ）</t>
  </si>
  <si>
    <t>処分履歴</t>
  </si>
  <si>
    <t>得点ランキング</t>
  </si>
  <si>
    <t>FPPランキング</t>
  </si>
  <si>
    <t>http://fs-system.jp/fs/pub_taikaigamelist.php?lid=zhbvH1tcO7+6ORhXkNKfrA==</t>
  </si>
  <si>
    <t>http://fs-system.jp/fs/pub_kaijyolist.php?lid=zhbvH1tcO7+6ORhXkNKfrA==</t>
  </si>
  <si>
    <t>http://fs-system.jp/fs/pub_teamlank.php?lid=zhbvH1tcO7+6ORhXkNKfrA==</t>
  </si>
  <si>
    <t>http://fs-system.jp/fs/pub_matrix.php?lid=zhbvH1tcO7+6ORhXkNKfrA==</t>
  </si>
  <si>
    <t>http://fs-system.jp/fs/pub_penaltylist.php?lid=zhbvH1tcO7+6ORhXkNKfrA==</t>
  </si>
  <si>
    <t>http://fs-system.jp/fs/pub_mlt_goalrank.php?lid=zhbvH1tcO7+6ORhXkNKfrA==</t>
  </si>
  <si>
    <t>http://fs-system.jp/fs/pub_fpprank.php?lid=zhbvH1tcO7+6ORhXkNKfrA==</t>
  </si>
  <si>
    <t>http://fs-system.jp/fs/pub_kaijyolist.php?lid=sG9eESVG1Bo=</t>
  </si>
  <si>
    <t>http://fs-system.jp/fs/pub_matrix.php?lid=sG9eESVG1Bo=</t>
  </si>
  <si>
    <t>http://fs-system.jp/fs/pub_penaltylist.php?lid=sG9eESVG1Bo=</t>
  </si>
  <si>
    <t>東北リーグ【２部北】公開用ＵＲＬ</t>
  </si>
  <si>
    <t>東北リーグ【２部南】公開用ＵＲＬ</t>
  </si>
  <si>
    <t>東北リーグ【１部】公開用ＵＲＬ</t>
  </si>
  <si>
    <t>http://fs-system.jp/fs/pub_taikaigamelist.php?lid=FLuWDd0daWs=</t>
  </si>
  <si>
    <t>http://fs-system.jp/fs/pub_kaijyolist.php?lid=FLuWDd0daWs=</t>
  </si>
  <si>
    <t>http://fs-system.jp/fs/pub_teamlank.php?lid=FLuWDd0daWs=</t>
  </si>
  <si>
    <t>http://fs-system.jp/fs/pub_matrix.php?lid=FLuWDd0daWs=</t>
  </si>
  <si>
    <t>http://fs-system.jp/fs/pub_penaltylist.php?lid=FLuWDd0daWs=</t>
  </si>
  <si>
    <t>http://fs-system.jp/fs/pub_mlt_goalrank.php?lid=FLuWDd0daWs=</t>
  </si>
  <si>
    <t>http://fs-system.jp/fs/pub_fpprank.php?lid=FLuWDd0daWs=</t>
  </si>
  <si>
    <t>http://fs-system.jp/fs/pub_taikaigamelist.php?lid=uxaJWQpBxsk=</t>
  </si>
  <si>
    <t>http://fs-system.jp/fs/pub_kaijyolist.php?lid=uxaJWQpBxsk=</t>
  </si>
  <si>
    <t>http://fs-system.jp/fs/pub_teamlank.php?lid=uxaJWQpBxsk=</t>
  </si>
  <si>
    <t>http://fs-system.jp/fs/pub_matrix.php?lid=uxaJWQpBxsk=</t>
  </si>
  <si>
    <t>http://fs-system.jp/fs/pub_penaltylist.php?lid=uxaJWQpBxsk=</t>
  </si>
  <si>
    <t>http://fs-system.jp/fs/pub_mlt_goalrank.php?lid=uxaJWQpBxsk=</t>
  </si>
  <si>
    <t>http://fs-system.jp/fs/pub_fpprank.php?lid=uxaJWQpBxsk=</t>
  </si>
  <si>
    <t>http://fs-system.jp/fs/pub_taikaigamelist.php?lid=sG9eESVG1Bo=</t>
  </si>
  <si>
    <t>http://fs-system.jp/fs/pub_teamlank.php?lid=sG9eESVG1Bo=</t>
  </si>
  <si>
    <t>http://fs-system.jp/fs/pub_mlt_goalrank.php?lid=sG9eESVG1Bo=</t>
  </si>
  <si>
    <t>http://fs-system.jp/fs/pub_fpprank.php?lid=sG9eESVG1Bo=</t>
  </si>
  <si>
    <t>○</t>
  </si>
  <si>
    <t>●</t>
  </si>
  <si>
    <t>ＭＣ</t>
  </si>
  <si>
    <t>チーム</t>
  </si>
  <si>
    <t>前期順位</t>
  </si>
  <si>
    <t>試合№</t>
  </si>
  <si>
    <t>チームＨ</t>
  </si>
  <si>
    <t>チームＡ</t>
  </si>
  <si>
    <t>反転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</si>
</sst>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#&quot;節&quot;"/>
    <numFmt numFmtId="177" formatCode="m&quot;月&quot;d&quot;日&quot;;@"/>
    <numFmt numFmtId="178" formatCode="h:mm;@"/>
  </numFmts>
  <fonts count="45">
    <font>
      <sz val="12"/>
      <name val="Osaka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Osaka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11"/>
      <name val="Osaka"/>
      <family val="3"/>
    </font>
    <font>
      <sz val="11"/>
      <name val="ＭＳ Ｐゴシック"/>
      <family val="0"/>
    </font>
    <font>
      <b/>
      <sz val="20"/>
      <name val="Osaka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20"/>
      <name val="HGｺﾞｼｯｸE"/>
      <family val="3"/>
    </font>
    <font>
      <b/>
      <sz val="16"/>
      <color indexed="10"/>
      <name val="Osaka"/>
      <family val="3"/>
    </font>
    <font>
      <sz val="14"/>
      <name val="Osaka"/>
      <family val="3"/>
    </font>
    <font>
      <sz val="10"/>
      <name val="Osaka"/>
      <family val="3"/>
    </font>
    <font>
      <b/>
      <sz val="16"/>
      <name val="Osaka"/>
      <family val="3"/>
    </font>
    <font>
      <sz val="10"/>
      <color indexed="8"/>
      <name val="ＭＳ Ｐゴシック"/>
      <family val="3"/>
    </font>
    <font>
      <sz val="12"/>
      <name val="ＭＳ ゴシック"/>
      <family val="3"/>
    </font>
    <font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12"/>
      <name val="Osaka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dotted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medium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medium"/>
      <top style="dotted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 style="dotted"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 style="medium"/>
      <right/>
      <top/>
      <bottom style="thin"/>
      <diagonal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/>
      <right style="medium"/>
      <top/>
      <bottom style="medium"/>
    </border>
    <border diagonalDown="1">
      <left/>
      <right style="medium"/>
      <top style="thin"/>
      <bottom/>
      <diagonal style="thin"/>
    </border>
    <border diagonalDown="1">
      <left/>
      <right style="medium"/>
      <top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medium"/>
      <right style="thin"/>
      <top/>
      <bottom style="medium"/>
    </border>
    <border>
      <left style="medium">
        <color indexed="40"/>
      </left>
      <right style="medium">
        <color indexed="40"/>
      </right>
      <top style="medium">
        <color indexed="40"/>
      </top>
      <bottom/>
    </border>
    <border>
      <left style="medium">
        <color indexed="40"/>
      </left>
      <right style="medium">
        <color indexed="40"/>
      </right>
      <top/>
      <bottom style="medium">
        <color indexed="40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6" fillId="0" borderId="3" applyNumberFormat="0" applyFill="0" applyAlignment="0" applyProtection="0"/>
    <xf numFmtId="0" fontId="31" fillId="3" borderId="0" applyNumberFormat="0" applyBorder="0" applyAlignment="0" applyProtection="0"/>
    <xf numFmtId="0" fontId="35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4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30" fillId="4" borderId="0" applyNumberFormat="0" applyBorder="0" applyAlignment="0" applyProtection="0"/>
  </cellStyleXfs>
  <cellXfs count="453">
    <xf numFmtId="0" fontId="0" fillId="0" borderId="0" xfId="0" applyAlignment="1">
      <alignment/>
    </xf>
    <xf numFmtId="0" fontId="5" fillId="0" borderId="10" xfId="63" applyFont="1" applyBorder="1" applyAlignment="1">
      <alignment horizontal="center" vertical="center"/>
      <protection/>
    </xf>
    <xf numFmtId="0" fontId="5" fillId="24" borderId="11" xfId="63" applyFont="1" applyFill="1" applyBorder="1" applyAlignment="1">
      <alignment vertical="center"/>
      <protection/>
    </xf>
    <xf numFmtId="0" fontId="5" fillId="24" borderId="12" xfId="63" applyFont="1" applyFill="1" applyBorder="1" applyAlignment="1">
      <alignment vertical="center"/>
      <protection/>
    </xf>
    <xf numFmtId="0" fontId="8" fillId="25" borderId="0" xfId="63" applyFill="1" applyAlignment="1">
      <alignment vertical="top"/>
      <protection/>
    </xf>
    <xf numFmtId="0" fontId="8" fillId="24" borderId="13" xfId="63" applyFill="1" applyBorder="1" applyAlignment="1">
      <alignment horizontal="center" vertical="center"/>
      <protection/>
    </xf>
    <xf numFmtId="0" fontId="5" fillId="26" borderId="13" xfId="63" applyFont="1" applyFill="1" applyBorder="1" applyAlignment="1">
      <alignment horizontal="center" vertical="center" shrinkToFit="1"/>
      <protection/>
    </xf>
    <xf numFmtId="0" fontId="8" fillId="22" borderId="14" xfId="63" applyFill="1" applyBorder="1" applyAlignment="1">
      <alignment horizontal="center" vertical="center" shrinkToFit="1"/>
      <protection/>
    </xf>
    <xf numFmtId="0" fontId="8" fillId="22" borderId="13" xfId="63" applyFill="1" applyBorder="1" applyAlignment="1">
      <alignment horizontal="center" vertical="center" shrinkToFit="1"/>
      <protection/>
    </xf>
    <xf numFmtId="0" fontId="8" fillId="22" borderId="15" xfId="63" applyFill="1" applyBorder="1" applyAlignment="1">
      <alignment horizontal="center" vertical="center" shrinkToFit="1"/>
      <protection/>
    </xf>
    <xf numFmtId="0" fontId="8" fillId="24" borderId="16" xfId="63" applyFont="1" applyFill="1" applyBorder="1" applyAlignment="1">
      <alignment horizontal="center" vertical="center"/>
      <protection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 vertical="center" shrinkToFit="1"/>
    </xf>
    <xf numFmtId="56" fontId="12" fillId="0" borderId="22" xfId="0" applyNumberFormat="1" applyFont="1" applyBorder="1" applyAlignment="1">
      <alignment/>
    </xf>
    <xf numFmtId="0" fontId="12" fillId="0" borderId="23" xfId="0" applyFont="1" applyBorder="1" applyAlignment="1">
      <alignment/>
    </xf>
    <xf numFmtId="56" fontId="12" fillId="0" borderId="24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 horizontal="center" vertical="center" shrinkToFit="1"/>
    </xf>
    <xf numFmtId="56" fontId="12" fillId="0" borderId="27" xfId="0" applyNumberFormat="1" applyFont="1" applyBorder="1" applyAlignment="1">
      <alignment/>
    </xf>
    <xf numFmtId="0" fontId="12" fillId="23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8" fillId="0" borderId="0" xfId="63" applyFont="1" applyBorder="1" applyAlignment="1">
      <alignment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4" fillId="25" borderId="25" xfId="63" applyFont="1" applyFill="1" applyBorder="1" applyAlignment="1">
      <alignment horizontal="center" vertical="center"/>
      <protection/>
    </xf>
    <xf numFmtId="0" fontId="14" fillId="25" borderId="26" xfId="63" applyFont="1" applyFill="1" applyBorder="1" applyAlignment="1">
      <alignment horizontal="center" vertical="center"/>
      <protection/>
    </xf>
    <xf numFmtId="0" fontId="14" fillId="25" borderId="27" xfId="63" applyFont="1" applyFill="1" applyBorder="1" applyAlignment="1">
      <alignment horizontal="center" vertical="center"/>
      <protection/>
    </xf>
    <xf numFmtId="0" fontId="14" fillId="25" borderId="29" xfId="63" applyFont="1" applyFill="1" applyBorder="1" applyAlignment="1">
      <alignment horizontal="center" vertical="center" wrapText="1"/>
      <protection/>
    </xf>
    <xf numFmtId="0" fontId="14" fillId="25" borderId="30" xfId="63" applyFont="1" applyFill="1" applyBorder="1" applyAlignment="1">
      <alignment horizontal="center" vertical="center" wrapText="1"/>
      <protection/>
    </xf>
    <xf numFmtId="0" fontId="14" fillId="25" borderId="31" xfId="63" applyFont="1" applyFill="1" applyBorder="1" applyAlignment="1">
      <alignment horizontal="center" vertical="center" wrapText="1"/>
      <protection/>
    </xf>
    <xf numFmtId="0" fontId="8" fillId="24" borderId="32" xfId="63" applyFill="1" applyBorder="1" applyAlignment="1">
      <alignment horizontal="center" vertical="center"/>
      <protection/>
    </xf>
    <xf numFmtId="0" fontId="14" fillId="25" borderId="33" xfId="63" applyFont="1" applyFill="1" applyBorder="1" applyAlignment="1">
      <alignment horizontal="center" vertical="center"/>
      <protection/>
    </xf>
    <xf numFmtId="0" fontId="14" fillId="25" borderId="34" xfId="63" applyFont="1" applyFill="1" applyBorder="1" applyAlignment="1">
      <alignment horizontal="center" vertical="center"/>
      <protection/>
    </xf>
    <xf numFmtId="0" fontId="14" fillId="25" borderId="35" xfId="63" applyFont="1" applyFill="1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Continuous"/>
    </xf>
    <xf numFmtId="0" fontId="12" fillId="24" borderId="10" xfId="63" applyFont="1" applyFill="1" applyBorder="1" applyAlignment="1">
      <alignment horizontal="center" vertical="center"/>
      <protection/>
    </xf>
    <xf numFmtId="0" fontId="10" fillId="0" borderId="14" xfId="0" applyFont="1" applyBorder="1" applyAlignment="1">
      <alignment horizontal="center" vertical="center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/>
    </xf>
    <xf numFmtId="0" fontId="12" fillId="24" borderId="0" xfId="63" applyFont="1" applyFill="1" applyBorder="1" applyAlignment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8" fillId="0" borderId="40" xfId="63" applyFont="1" applyBorder="1" applyAlignment="1">
      <alignment vertical="center"/>
      <protection/>
    </xf>
    <xf numFmtId="0" fontId="8" fillId="0" borderId="38" xfId="63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2" fillId="24" borderId="11" xfId="63" applyFont="1" applyFill="1" applyBorder="1" applyAlignment="1">
      <alignment vertical="center"/>
      <protection/>
    </xf>
    <xf numFmtId="0" fontId="2" fillId="24" borderId="12" xfId="63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 applyProtection="1">
      <alignment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5" fillId="3" borderId="13" xfId="63" applyFont="1" applyFill="1" applyBorder="1" applyAlignment="1">
      <alignment horizontal="center" vertical="center" shrinkToFit="1"/>
      <protection/>
    </xf>
    <xf numFmtId="0" fontId="7" fillId="0" borderId="0" xfId="0" applyFont="1" applyBorder="1" applyAlignment="1">
      <alignment vertical="center"/>
    </xf>
    <xf numFmtId="0" fontId="5" fillId="24" borderId="41" xfId="63" applyFont="1" applyFill="1" applyBorder="1" applyAlignment="1">
      <alignment vertical="center"/>
      <protection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13" xfId="0" applyFont="1" applyFill="1" applyBorder="1" applyAlignment="1">
      <alignment horizontal="center" vertical="center" shrinkToFit="1"/>
    </xf>
    <xf numFmtId="0" fontId="17" fillId="7" borderId="0" xfId="0" applyFont="1" applyFill="1" applyAlignment="1" applyProtection="1">
      <alignment horizontal="center" vertical="center"/>
      <protection locked="0"/>
    </xf>
    <xf numFmtId="0" fontId="10" fillId="24" borderId="10" xfId="6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0" fillId="0" borderId="42" xfId="0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top"/>
    </xf>
    <xf numFmtId="0" fontId="10" fillId="0" borderId="40" xfId="0" applyFont="1" applyFill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12" fillId="24" borderId="10" xfId="6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32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Alignment="1">
      <alignment horizontal="centerContinuous" shrinkToFit="1"/>
    </xf>
    <xf numFmtId="0" fontId="12" fillId="0" borderId="0" xfId="0" applyFont="1" applyFill="1" applyAlignment="1">
      <alignment shrinkToFit="1"/>
    </xf>
    <xf numFmtId="0" fontId="12" fillId="0" borderId="0" xfId="0" applyFont="1" applyAlignment="1">
      <alignment shrinkToFit="1"/>
    </xf>
    <xf numFmtId="0" fontId="12" fillId="23" borderId="0" xfId="0" applyFont="1" applyFill="1" applyAlignment="1">
      <alignment shrinkToFit="1"/>
    </xf>
    <xf numFmtId="0" fontId="12" fillId="23" borderId="17" xfId="0" applyFont="1" applyFill="1" applyBorder="1" applyAlignment="1">
      <alignment/>
    </xf>
    <xf numFmtId="0" fontId="12" fillId="23" borderId="18" xfId="0" applyFont="1" applyFill="1" applyBorder="1" applyAlignment="1">
      <alignment/>
    </xf>
    <xf numFmtId="0" fontId="12" fillId="23" borderId="19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5" fillId="25" borderId="10" xfId="63" applyFont="1" applyFill="1" applyBorder="1" applyAlignment="1">
      <alignment horizontal="center" vertical="center"/>
      <protection/>
    </xf>
    <xf numFmtId="0" fontId="5" fillId="25" borderId="41" xfId="63" applyFont="1" applyFill="1" applyBorder="1" applyAlignment="1">
      <alignment vertical="center"/>
      <protection/>
    </xf>
    <xf numFmtId="0" fontId="5" fillId="25" borderId="11" xfId="63" applyFont="1" applyFill="1" applyBorder="1" applyAlignment="1">
      <alignment vertical="center"/>
      <protection/>
    </xf>
    <xf numFmtId="0" fontId="5" fillId="25" borderId="12" xfId="63" applyFont="1" applyFill="1" applyBorder="1" applyAlignment="1">
      <alignment vertical="center"/>
      <protection/>
    </xf>
    <xf numFmtId="0" fontId="8" fillId="27" borderId="40" xfId="63" applyFont="1" applyFill="1" applyBorder="1" applyAlignment="1">
      <alignment vertical="center"/>
      <protection/>
    </xf>
    <xf numFmtId="0" fontId="2" fillId="24" borderId="0" xfId="63" applyFont="1" applyFill="1" applyBorder="1" applyAlignment="1">
      <alignment horizontal="center" vertical="center" shrinkToFit="1"/>
      <protection/>
    </xf>
    <xf numFmtId="0" fontId="14" fillId="25" borderId="0" xfId="63" applyFont="1" applyFill="1" applyBorder="1" applyAlignment="1">
      <alignment horizontal="center" vertical="center"/>
      <protection/>
    </xf>
    <xf numFmtId="0" fontId="12" fillId="0" borderId="4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40" xfId="0" applyFont="1" applyBorder="1" applyAlignment="1">
      <alignment horizontal="center" vertical="center"/>
    </xf>
    <xf numFmtId="0" fontId="12" fillId="0" borderId="40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56" fontId="12" fillId="0" borderId="0" xfId="0" applyNumberFormat="1" applyFont="1" applyAlignment="1">
      <alignment/>
    </xf>
    <xf numFmtId="0" fontId="14" fillId="0" borderId="43" xfId="0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>
      <alignment horizontal="center" vertical="top"/>
    </xf>
    <xf numFmtId="0" fontId="12" fillId="0" borderId="44" xfId="0" applyFont="1" applyFill="1" applyBorder="1" applyAlignment="1" applyProtection="1">
      <alignment horizontal="center"/>
      <protection locked="0"/>
    </xf>
    <xf numFmtId="0" fontId="10" fillId="0" borderId="42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21" borderId="40" xfId="0" applyFont="1" applyFill="1" applyBorder="1" applyAlignment="1">
      <alignment horizontal="center" vertical="top"/>
    </xf>
    <xf numFmtId="0" fontId="12" fillId="21" borderId="40" xfId="0" applyFont="1" applyFill="1" applyBorder="1" applyAlignment="1" applyProtection="1">
      <alignment horizontal="center"/>
      <protection locked="0"/>
    </xf>
    <xf numFmtId="0" fontId="6" fillId="21" borderId="40" xfId="0" applyFont="1" applyFill="1" applyBorder="1" applyAlignment="1">
      <alignment horizontal="center" vertical="top"/>
    </xf>
    <xf numFmtId="0" fontId="12" fillId="21" borderId="44" xfId="0" applyFont="1" applyFill="1" applyBorder="1" applyAlignment="1" applyProtection="1">
      <alignment horizontal="center"/>
      <protection locked="0"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4" xfId="0" applyFont="1" applyBorder="1" applyAlignment="1">
      <alignment/>
    </xf>
    <xf numFmtId="0" fontId="0" fillId="0" borderId="26" xfId="0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9" fillId="0" borderId="23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24" xfId="0" applyFont="1" applyBorder="1" applyAlignment="1">
      <alignment horizontal="centerContinuous"/>
    </xf>
    <xf numFmtId="0" fontId="0" fillId="0" borderId="17" xfId="0" applyBorder="1" applyAlignment="1">
      <alignment vertical="center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6" fillId="0" borderId="37" xfId="0" applyFont="1" applyFill="1" applyBorder="1" applyAlignment="1">
      <alignment horizontal="center" vertical="top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>
      <alignment horizontal="center" vertical="top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14" fillId="0" borderId="48" xfId="0" applyFont="1" applyFill="1" applyBorder="1" applyAlignment="1" applyProtection="1">
      <alignment horizontal="center" vertical="center"/>
      <protection locked="0"/>
    </xf>
    <xf numFmtId="0" fontId="8" fillId="0" borderId="49" xfId="0" applyFont="1" applyBorder="1" applyAlignment="1">
      <alignment horizontal="center" vertical="center"/>
    </xf>
    <xf numFmtId="0" fontId="12" fillId="0" borderId="42" xfId="0" applyFont="1" applyFill="1" applyBorder="1" applyAlignment="1" applyProtection="1">
      <alignment horizontal="center" vertical="center" shrinkToFit="1"/>
      <protection locked="0"/>
    </xf>
    <xf numFmtId="0" fontId="14" fillId="0" borderId="50" xfId="0" applyFont="1" applyFill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 shrinkToFit="1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 applyProtection="1">
      <alignment horizontal="center"/>
      <protection locked="0"/>
    </xf>
    <xf numFmtId="20" fontId="12" fillId="0" borderId="0" xfId="0" applyNumberFormat="1" applyFont="1" applyAlignment="1">
      <alignment/>
    </xf>
    <xf numFmtId="0" fontId="12" fillId="21" borderId="35" xfId="0" applyFont="1" applyFill="1" applyBorder="1" applyAlignment="1">
      <alignment horizontal="center" vertical="center"/>
    </xf>
    <xf numFmtId="0" fontId="12" fillId="21" borderId="22" xfId="0" applyFont="1" applyFill="1" applyBorder="1" applyAlignment="1">
      <alignment horizontal="center" vertical="center"/>
    </xf>
    <xf numFmtId="20" fontId="25" fillId="0" borderId="0" xfId="0" applyNumberFormat="1" applyFont="1" applyAlignment="1">
      <alignment/>
    </xf>
    <xf numFmtId="0" fontId="12" fillId="0" borderId="51" xfId="0" applyFont="1" applyBorder="1" applyAlignment="1">
      <alignment horizontal="center" vertical="center"/>
    </xf>
    <xf numFmtId="0" fontId="12" fillId="6" borderId="51" xfId="0" applyFont="1" applyFill="1" applyBorder="1" applyAlignment="1">
      <alignment horizontal="center" vertical="center"/>
    </xf>
    <xf numFmtId="0" fontId="12" fillId="7" borderId="51" xfId="0" applyFont="1" applyFill="1" applyBorder="1" applyAlignment="1">
      <alignment horizontal="center" vertical="center"/>
    </xf>
    <xf numFmtId="0" fontId="12" fillId="5" borderId="51" xfId="0" applyFont="1" applyFill="1" applyBorder="1" applyAlignment="1">
      <alignment horizontal="center" vertical="center"/>
    </xf>
    <xf numFmtId="0" fontId="12" fillId="21" borderId="51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2" fillId="0" borderId="44" xfId="0" applyFont="1" applyFill="1" applyBorder="1" applyAlignment="1" applyProtection="1">
      <alignment horizontal="center" vertical="center" shrinkToFit="1"/>
      <protection locked="0"/>
    </xf>
    <xf numFmtId="0" fontId="14" fillId="0" borderId="43" xfId="0" applyFont="1" applyFill="1" applyBorder="1" applyAlignment="1" applyProtection="1">
      <alignment horizontal="center" vertical="center"/>
      <protection locked="0"/>
    </xf>
    <xf numFmtId="0" fontId="8" fillId="0" borderId="52" xfId="0" applyFont="1" applyBorder="1" applyAlignment="1">
      <alignment horizontal="center" vertical="center"/>
    </xf>
    <xf numFmtId="0" fontId="12" fillId="0" borderId="44" xfId="0" applyFont="1" applyBorder="1" applyAlignment="1" applyProtection="1">
      <alignment horizontal="center" vertical="center" shrinkToFit="1"/>
      <protection locked="0"/>
    </xf>
    <xf numFmtId="0" fontId="12" fillId="0" borderId="40" xfId="0" applyFont="1" applyFill="1" applyBorder="1" applyAlignment="1" applyProtection="1">
      <alignment horizontal="center" vertical="center" shrinkToFi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center" shrinkToFit="1"/>
      <protection locked="0"/>
    </xf>
    <xf numFmtId="0" fontId="18" fillId="0" borderId="19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center" vertical="center"/>
    </xf>
    <xf numFmtId="0" fontId="14" fillId="0" borderId="55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0" fontId="14" fillId="0" borderId="43" xfId="0" applyFont="1" applyFill="1" applyBorder="1" applyAlignment="1" applyProtection="1">
      <alignment horizontal="center" vertical="center" wrapText="1"/>
      <protection locked="0"/>
    </xf>
    <xf numFmtId="0" fontId="24" fillId="0" borderId="57" xfId="43" applyBorder="1" applyAlignment="1">
      <alignment horizontal="left" vertical="center" wrapText="1"/>
    </xf>
    <xf numFmtId="0" fontId="18" fillId="0" borderId="57" xfId="0" applyFont="1" applyBorder="1" applyAlignment="1">
      <alignment horizontal="left" vertical="center" wrapText="1"/>
    </xf>
    <xf numFmtId="0" fontId="18" fillId="0" borderId="58" xfId="0" applyFont="1" applyBorder="1" applyAlignment="1">
      <alignment horizontal="left" vertical="center" wrapText="1"/>
    </xf>
    <xf numFmtId="0" fontId="24" fillId="0" borderId="59" xfId="43" applyBorder="1" applyAlignment="1">
      <alignment horizontal="left" vertical="center" wrapText="1"/>
    </xf>
    <xf numFmtId="0" fontId="18" fillId="0" borderId="59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center" wrapText="1"/>
    </xf>
    <xf numFmtId="0" fontId="24" fillId="0" borderId="61" xfId="43" applyBorder="1" applyAlignment="1">
      <alignment horizontal="left" vertical="center" wrapText="1"/>
    </xf>
    <xf numFmtId="0" fontId="18" fillId="0" borderId="61" xfId="0" applyFont="1" applyBorder="1" applyAlignment="1">
      <alignment horizontal="left" vertical="center" wrapText="1"/>
    </xf>
    <xf numFmtId="0" fontId="18" fillId="0" borderId="6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4" fillId="0" borderId="44" xfId="0" applyFont="1" applyFill="1" applyBorder="1" applyAlignment="1" applyProtection="1">
      <alignment horizontal="center" vertical="center"/>
      <protection locked="0"/>
    </xf>
    <xf numFmtId="0" fontId="14" fillId="0" borderId="63" xfId="0" applyFont="1" applyFill="1" applyBorder="1" applyAlignment="1" applyProtection="1">
      <alignment horizontal="center" vertical="center"/>
      <protection locked="0"/>
    </xf>
    <xf numFmtId="177" fontId="14" fillId="25" borderId="20" xfId="63" applyNumberFormat="1" applyFont="1" applyFill="1" applyBorder="1" applyAlignment="1">
      <alignment horizontal="center" vertical="center" wrapText="1"/>
      <protection/>
    </xf>
    <xf numFmtId="177" fontId="14" fillId="25" borderId="21" xfId="63" applyNumberFormat="1" applyFont="1" applyFill="1" applyBorder="1" applyAlignment="1">
      <alignment horizontal="center" vertical="center" wrapText="1"/>
      <protection/>
    </xf>
    <xf numFmtId="177" fontId="14" fillId="25" borderId="22" xfId="63" applyNumberFormat="1" applyFont="1" applyFill="1" applyBorder="1" applyAlignment="1">
      <alignment horizontal="center" vertical="center" wrapText="1"/>
      <protection/>
    </xf>
    <xf numFmtId="177" fontId="14" fillId="25" borderId="64" xfId="63" applyNumberFormat="1" applyFont="1" applyFill="1" applyBorder="1" applyAlignment="1">
      <alignment horizontal="center" vertical="center"/>
      <protection/>
    </xf>
    <xf numFmtId="177" fontId="14" fillId="25" borderId="65" xfId="63" applyNumberFormat="1" applyFont="1" applyFill="1" applyBorder="1" applyAlignment="1">
      <alignment horizontal="center" vertical="center"/>
      <protection/>
    </xf>
    <xf numFmtId="177" fontId="14" fillId="25" borderId="66" xfId="63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22" borderId="40" xfId="63" applyFont="1" applyFill="1" applyBorder="1" applyAlignment="1">
      <alignment horizontal="center" vertical="center"/>
      <protection/>
    </xf>
    <xf numFmtId="0" fontId="11" fillId="22" borderId="55" xfId="63" applyFont="1" applyFill="1" applyBorder="1" applyAlignment="1">
      <alignment horizontal="center" vertical="center"/>
      <protection/>
    </xf>
    <xf numFmtId="0" fontId="11" fillId="0" borderId="38" xfId="63" applyFont="1" applyBorder="1" applyAlignment="1">
      <alignment horizontal="center" vertical="center"/>
      <protection/>
    </xf>
    <xf numFmtId="0" fontId="11" fillId="0" borderId="48" xfId="63" applyFont="1" applyBorder="1" applyAlignment="1">
      <alignment horizontal="center" vertical="center"/>
      <protection/>
    </xf>
    <xf numFmtId="0" fontId="11" fillId="26" borderId="37" xfId="63" applyFont="1" applyFill="1" applyBorder="1" applyAlignment="1">
      <alignment horizontal="center" vertical="center"/>
      <protection/>
    </xf>
    <xf numFmtId="0" fontId="11" fillId="26" borderId="38" xfId="63" applyFont="1" applyFill="1" applyBorder="1" applyAlignment="1">
      <alignment horizontal="center" vertical="center"/>
      <protection/>
    </xf>
    <xf numFmtId="0" fontId="11" fillId="26" borderId="48" xfId="63" applyFont="1" applyFill="1" applyBorder="1" applyAlignment="1">
      <alignment horizontal="center" vertical="center"/>
      <protection/>
    </xf>
    <xf numFmtId="0" fontId="11" fillId="22" borderId="56" xfId="63" applyFont="1" applyFill="1" applyBorder="1" applyAlignment="1">
      <alignment horizontal="center" vertical="center"/>
      <protection/>
    </xf>
    <xf numFmtId="177" fontId="22" fillId="25" borderId="64" xfId="63" applyNumberFormat="1" applyFont="1" applyFill="1" applyBorder="1" applyAlignment="1">
      <alignment horizontal="center" vertical="center"/>
      <protection/>
    </xf>
    <xf numFmtId="177" fontId="22" fillId="25" borderId="65" xfId="63" applyNumberFormat="1" applyFont="1" applyFill="1" applyBorder="1" applyAlignment="1">
      <alignment horizontal="center" vertical="center"/>
      <protection/>
    </xf>
    <xf numFmtId="177" fontId="22" fillId="25" borderId="67" xfId="63" applyNumberFormat="1" applyFont="1" applyFill="1" applyBorder="1" applyAlignment="1">
      <alignment horizontal="center" vertical="center"/>
      <protection/>
    </xf>
    <xf numFmtId="0" fontId="11" fillId="0" borderId="68" xfId="63" applyFont="1" applyBorder="1" applyAlignment="1">
      <alignment horizontal="center" vertical="center"/>
      <protection/>
    </xf>
    <xf numFmtId="0" fontId="11" fillId="0" borderId="69" xfId="63" applyFont="1" applyBorder="1" applyAlignment="1">
      <alignment horizontal="center" vertical="center"/>
      <protection/>
    </xf>
    <xf numFmtId="0" fontId="11" fillId="0" borderId="39" xfId="63" applyFont="1" applyBorder="1" applyAlignment="1">
      <alignment horizontal="center" vertical="center"/>
      <protection/>
    </xf>
    <xf numFmtId="0" fontId="11" fillId="0" borderId="12" xfId="63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center" vertical="center"/>
      <protection/>
    </xf>
    <xf numFmtId="0" fontId="11" fillId="0" borderId="70" xfId="63" applyFont="1" applyBorder="1" applyAlignment="1">
      <alignment horizontal="center" vertical="center"/>
      <protection/>
    </xf>
    <xf numFmtId="0" fontId="11" fillId="26" borderId="39" xfId="63" applyFont="1" applyFill="1" applyBorder="1" applyAlignment="1">
      <alignment horizontal="center" vertical="center"/>
      <protection/>
    </xf>
    <xf numFmtId="177" fontId="14" fillId="25" borderId="71" xfId="63" applyNumberFormat="1" applyFont="1" applyFill="1" applyBorder="1" applyAlignment="1">
      <alignment horizontal="center" vertical="center"/>
      <protection/>
    </xf>
    <xf numFmtId="0" fontId="2" fillId="24" borderId="11" xfId="63" applyFont="1" applyFill="1" applyBorder="1" applyAlignment="1">
      <alignment horizontal="center" vertical="center" shrinkToFit="1"/>
      <protection/>
    </xf>
    <xf numFmtId="0" fontId="2" fillId="24" borderId="70" xfId="63" applyFont="1" applyFill="1" applyBorder="1" applyAlignment="1">
      <alignment horizontal="center" vertical="center" shrinkToFit="1"/>
      <protection/>
    </xf>
    <xf numFmtId="0" fontId="14" fillId="0" borderId="72" xfId="63" applyFont="1" applyBorder="1" applyAlignment="1">
      <alignment horizontal="center" vertical="center"/>
      <protection/>
    </xf>
    <xf numFmtId="0" fontId="14" fillId="0" borderId="73" xfId="63" applyFont="1" applyBorder="1" applyAlignment="1">
      <alignment horizontal="center" vertical="center"/>
      <protection/>
    </xf>
    <xf numFmtId="0" fontId="14" fillId="0" borderId="74" xfId="63" applyFont="1" applyBorder="1" applyAlignment="1">
      <alignment horizontal="center" vertical="center"/>
      <protection/>
    </xf>
    <xf numFmtId="0" fontId="14" fillId="0" borderId="75" xfId="63" applyFont="1" applyBorder="1" applyAlignment="1">
      <alignment horizontal="center" vertical="center"/>
      <protection/>
    </xf>
    <xf numFmtId="0" fontId="14" fillId="0" borderId="76" xfId="63" applyFont="1" applyBorder="1" applyAlignment="1">
      <alignment horizontal="center" vertical="center"/>
      <protection/>
    </xf>
    <xf numFmtId="0" fontId="14" fillId="0" borderId="77" xfId="63" applyFont="1" applyBorder="1" applyAlignment="1">
      <alignment horizontal="center" vertical="center"/>
      <protection/>
    </xf>
    <xf numFmtId="0" fontId="14" fillId="0" borderId="78" xfId="63" applyFont="1" applyBorder="1" applyAlignment="1">
      <alignment horizontal="center" vertical="center"/>
      <protection/>
    </xf>
    <xf numFmtId="0" fontId="14" fillId="0" borderId="79" xfId="63" applyFont="1" applyBorder="1" applyAlignment="1">
      <alignment horizontal="center" vertical="center"/>
      <protection/>
    </xf>
    <xf numFmtId="0" fontId="14" fillId="0" borderId="80" xfId="63" applyFont="1" applyBorder="1" applyAlignment="1">
      <alignment horizontal="center" vertical="center"/>
      <protection/>
    </xf>
    <xf numFmtId="0" fontId="5" fillId="25" borderId="81" xfId="63" applyFont="1" applyFill="1" applyBorder="1" applyAlignment="1">
      <alignment horizontal="center" vertical="center"/>
      <protection/>
    </xf>
    <xf numFmtId="0" fontId="5" fillId="25" borderId="82" xfId="63" applyFont="1" applyFill="1" applyBorder="1" applyAlignment="1">
      <alignment horizontal="center" vertical="center"/>
      <protection/>
    </xf>
    <xf numFmtId="0" fontId="5" fillId="25" borderId="28" xfId="63" applyFont="1" applyFill="1" applyBorder="1" applyAlignment="1">
      <alignment horizontal="center" vertical="center"/>
      <protection/>
    </xf>
    <xf numFmtId="0" fontId="5" fillId="25" borderId="14" xfId="63" applyFont="1" applyFill="1" applyBorder="1" applyAlignment="1">
      <alignment horizontal="center" vertical="center"/>
      <protection/>
    </xf>
    <xf numFmtId="177" fontId="14" fillId="25" borderId="23" xfId="63" applyNumberFormat="1" applyFont="1" applyFill="1" applyBorder="1" applyAlignment="1">
      <alignment horizontal="center" vertical="center"/>
      <protection/>
    </xf>
    <xf numFmtId="177" fontId="14" fillId="25" borderId="0" xfId="63" applyNumberFormat="1" applyFont="1" applyFill="1" applyBorder="1" applyAlignment="1">
      <alignment horizontal="center" vertical="center"/>
      <protection/>
    </xf>
    <xf numFmtId="177" fontId="14" fillId="25" borderId="24" xfId="63" applyNumberFormat="1" applyFont="1" applyFill="1" applyBorder="1" applyAlignment="1">
      <alignment horizontal="center" vertical="center"/>
      <protection/>
    </xf>
    <xf numFmtId="0" fontId="14" fillId="0" borderId="83" xfId="63" applyFont="1" applyBorder="1" applyAlignment="1">
      <alignment horizontal="center" vertical="center"/>
      <protection/>
    </xf>
    <xf numFmtId="0" fontId="14" fillId="0" borderId="84" xfId="63" applyFont="1" applyBorder="1" applyAlignment="1">
      <alignment horizontal="center" vertical="center"/>
      <protection/>
    </xf>
    <xf numFmtId="0" fontId="14" fillId="0" borderId="85" xfId="63" applyFont="1" applyBorder="1" applyAlignment="1">
      <alignment horizontal="center" vertical="center"/>
      <protection/>
    </xf>
    <xf numFmtId="0" fontId="14" fillId="0" borderId="86" xfId="63" applyFont="1" applyBorder="1" applyAlignment="1">
      <alignment horizontal="center" vertical="center"/>
      <protection/>
    </xf>
    <xf numFmtId="0" fontId="14" fillId="0" borderId="87" xfId="63" applyFont="1" applyBorder="1" applyAlignment="1">
      <alignment horizontal="center" vertical="center"/>
      <protection/>
    </xf>
    <xf numFmtId="177" fontId="14" fillId="0" borderId="64" xfId="63" applyNumberFormat="1" applyFont="1" applyFill="1" applyBorder="1" applyAlignment="1">
      <alignment horizontal="center" vertical="center"/>
      <protection/>
    </xf>
    <xf numFmtId="177" fontId="14" fillId="0" borderId="65" xfId="63" applyNumberFormat="1" applyFont="1" applyFill="1" applyBorder="1" applyAlignment="1">
      <alignment horizontal="center" vertical="center"/>
      <protection/>
    </xf>
    <xf numFmtId="177" fontId="14" fillId="0" borderId="66" xfId="63" applyNumberFormat="1" applyFont="1" applyFill="1" applyBorder="1" applyAlignment="1">
      <alignment horizontal="center" vertical="center"/>
      <protection/>
    </xf>
    <xf numFmtId="0" fontId="11" fillId="22" borderId="88" xfId="63" applyFont="1" applyFill="1" applyBorder="1" applyAlignment="1">
      <alignment horizontal="center" vertical="center"/>
      <protection/>
    </xf>
    <xf numFmtId="0" fontId="11" fillId="22" borderId="89" xfId="63" applyFont="1" applyFill="1" applyBorder="1" applyAlignment="1">
      <alignment horizontal="center" vertical="center"/>
      <protection/>
    </xf>
    <xf numFmtId="0" fontId="11" fillId="22" borderId="90" xfId="63" applyFont="1" applyFill="1" applyBorder="1" applyAlignment="1">
      <alignment horizontal="center" vertical="center"/>
      <protection/>
    </xf>
    <xf numFmtId="0" fontId="11" fillId="22" borderId="37" xfId="63" applyFont="1" applyFill="1" applyBorder="1" applyAlignment="1">
      <alignment horizontal="center" vertical="center"/>
      <protection/>
    </xf>
    <xf numFmtId="0" fontId="11" fillId="22" borderId="38" xfId="63" applyFont="1" applyFill="1" applyBorder="1" applyAlignment="1">
      <alignment horizontal="center" vertical="center"/>
      <protection/>
    </xf>
    <xf numFmtId="0" fontId="11" fillId="22" borderId="39" xfId="63" applyFont="1" applyFill="1" applyBorder="1" applyAlignment="1">
      <alignment horizontal="center" vertical="center"/>
      <protection/>
    </xf>
    <xf numFmtId="0" fontId="16" fillId="0" borderId="91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2" fillId="24" borderId="93" xfId="63" applyFont="1" applyFill="1" applyBorder="1" applyAlignment="1">
      <alignment horizontal="center" vertical="center" shrinkToFit="1"/>
      <protection/>
    </xf>
    <xf numFmtId="0" fontId="14" fillId="0" borderId="94" xfId="63" applyFont="1" applyBorder="1" applyAlignment="1">
      <alignment horizontal="center" vertical="center"/>
      <protection/>
    </xf>
    <xf numFmtId="0" fontId="14" fillId="0" borderId="95" xfId="63" applyFont="1" applyBorder="1" applyAlignment="1">
      <alignment horizontal="center" vertical="center"/>
      <protection/>
    </xf>
    <xf numFmtId="0" fontId="14" fillId="0" borderId="96" xfId="63" applyFont="1" applyBorder="1" applyAlignment="1">
      <alignment horizontal="center" vertical="center"/>
      <protection/>
    </xf>
    <xf numFmtId="0" fontId="14" fillId="0" borderId="97" xfId="63" applyFont="1" applyBorder="1" applyAlignment="1">
      <alignment horizontal="center" vertical="center"/>
      <protection/>
    </xf>
    <xf numFmtId="0" fontId="14" fillId="0" borderId="98" xfId="63" applyFont="1" applyBorder="1" applyAlignment="1">
      <alignment horizontal="center" vertical="center"/>
      <protection/>
    </xf>
    <xf numFmtId="0" fontId="11" fillId="22" borderId="44" xfId="63" applyFont="1" applyFill="1" applyBorder="1" applyAlignment="1">
      <alignment horizontal="center" vertical="center"/>
      <protection/>
    </xf>
    <xf numFmtId="0" fontId="11" fillId="0" borderId="93" xfId="63" applyFont="1" applyBorder="1" applyAlignment="1">
      <alignment horizontal="center" vertical="center"/>
      <protection/>
    </xf>
    <xf numFmtId="0" fontId="11" fillId="0" borderId="99" xfId="63" applyFont="1" applyBorder="1" applyAlignment="1">
      <alignment horizontal="center" vertical="center"/>
      <protection/>
    </xf>
    <xf numFmtId="0" fontId="19" fillId="0" borderId="100" xfId="0" applyFont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12" fillId="0" borderId="63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20" fontId="12" fillId="0" borderId="37" xfId="0" applyNumberFormat="1" applyFont="1" applyFill="1" applyBorder="1" applyAlignment="1">
      <alignment horizontal="center" vertical="center"/>
    </xf>
    <xf numFmtId="178" fontId="12" fillId="0" borderId="37" xfId="0" applyNumberFormat="1" applyFont="1" applyFill="1" applyBorder="1" applyAlignment="1">
      <alignment horizontal="center" vertical="center"/>
    </xf>
    <xf numFmtId="178" fontId="12" fillId="0" borderId="39" xfId="0" applyNumberFormat="1" applyFont="1" applyFill="1" applyBorder="1" applyAlignment="1">
      <alignment horizontal="center" vertical="center"/>
    </xf>
    <xf numFmtId="178" fontId="12" fillId="0" borderId="48" xfId="0" applyNumberFormat="1" applyFont="1" applyFill="1" applyBorder="1" applyAlignment="1">
      <alignment horizontal="center" vertical="center"/>
    </xf>
    <xf numFmtId="20" fontId="12" fillId="0" borderId="39" xfId="0" applyNumberFormat="1" applyFont="1" applyFill="1" applyBorder="1" applyAlignment="1">
      <alignment horizontal="center" vertical="center"/>
    </xf>
    <xf numFmtId="20" fontId="12" fillId="0" borderId="48" xfId="0" applyNumberFormat="1" applyFont="1" applyFill="1" applyBorder="1" applyAlignment="1">
      <alignment horizontal="center" vertical="center"/>
    </xf>
    <xf numFmtId="176" fontId="12" fillId="0" borderId="102" xfId="0" applyNumberFormat="1" applyFont="1" applyFill="1" applyBorder="1" applyAlignment="1">
      <alignment horizontal="center" vertical="center" shrinkToFit="1"/>
    </xf>
    <xf numFmtId="176" fontId="12" fillId="0" borderId="68" xfId="0" applyNumberFormat="1" applyFont="1" applyFill="1" applyBorder="1" applyAlignment="1">
      <alignment horizontal="center" vertical="center" shrinkToFit="1"/>
    </xf>
    <xf numFmtId="176" fontId="12" fillId="0" borderId="99" xfId="0" applyNumberFormat="1" applyFont="1" applyFill="1" applyBorder="1" applyAlignment="1">
      <alignment horizontal="center" vertical="center" shrinkToFit="1"/>
    </xf>
    <xf numFmtId="56" fontId="14" fillId="0" borderId="42" xfId="0" applyNumberFormat="1" applyFont="1" applyFill="1" applyBorder="1" applyAlignment="1">
      <alignment horizontal="center" vertical="center" shrinkToFit="1"/>
    </xf>
    <xf numFmtId="0" fontId="14" fillId="0" borderId="40" xfId="0" applyFont="1" applyFill="1" applyBorder="1" applyAlignment="1">
      <alignment horizontal="center" vertical="center" shrinkToFit="1"/>
    </xf>
    <xf numFmtId="0" fontId="14" fillId="0" borderId="44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wrapText="1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12" fillId="0" borderId="63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20" fontId="8" fillId="0" borderId="63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20" fontId="8" fillId="0" borderId="37" xfId="0" applyNumberFormat="1" applyFont="1" applyFill="1" applyBorder="1" applyAlignment="1">
      <alignment horizontal="center" vertical="center"/>
    </xf>
    <xf numFmtId="56" fontId="14" fillId="0" borderId="39" xfId="0" applyNumberFormat="1" applyFont="1" applyFill="1" applyBorder="1" applyAlignment="1">
      <alignment horizontal="center" vertical="center" shrinkToFit="1"/>
    </xf>
    <xf numFmtId="0" fontId="13" fillId="0" borderId="42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103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 shrinkToFit="1"/>
    </xf>
    <xf numFmtId="0" fontId="8" fillId="0" borderId="89" xfId="0" applyFont="1" applyFill="1" applyBorder="1" applyAlignment="1">
      <alignment horizontal="center" vertical="center" shrinkToFit="1"/>
    </xf>
    <xf numFmtId="0" fontId="8" fillId="0" borderId="105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wrapText="1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48" xfId="0" applyFont="1" applyFill="1" applyBorder="1" applyAlignment="1">
      <alignment horizontal="center" vertical="center" shrinkToFit="1"/>
    </xf>
    <xf numFmtId="0" fontId="12" fillId="21" borderId="22" xfId="0" applyFont="1" applyFill="1" applyBorder="1" applyAlignment="1">
      <alignment horizontal="center" vertical="center"/>
    </xf>
    <xf numFmtId="0" fontId="12" fillId="21" borderId="35" xfId="0" applyFont="1" applyFill="1" applyBorder="1" applyAlignment="1">
      <alignment horizontal="center" vertical="center"/>
    </xf>
    <xf numFmtId="20" fontId="8" fillId="21" borderId="37" xfId="0" applyNumberFormat="1" applyFont="1" applyFill="1" applyBorder="1" applyAlignment="1">
      <alignment horizontal="center" vertical="center"/>
    </xf>
    <xf numFmtId="0" fontId="8" fillId="21" borderId="48" xfId="0" applyFont="1" applyFill="1" applyBorder="1" applyAlignment="1">
      <alignment horizontal="center" vertical="center"/>
    </xf>
    <xf numFmtId="0" fontId="12" fillId="21" borderId="37" xfId="0" applyFont="1" applyFill="1" applyBorder="1" applyAlignment="1">
      <alignment horizontal="center" vertical="center"/>
    </xf>
    <xf numFmtId="0" fontId="12" fillId="21" borderId="48" xfId="0" applyFont="1" applyFill="1" applyBorder="1" applyAlignment="1">
      <alignment horizontal="center" vertical="center"/>
    </xf>
    <xf numFmtId="0" fontId="8" fillId="21" borderId="37" xfId="0" applyFont="1" applyFill="1" applyBorder="1" applyAlignment="1">
      <alignment horizontal="center" vertical="center"/>
    </xf>
    <xf numFmtId="0" fontId="10" fillId="21" borderId="37" xfId="0" applyFont="1" applyFill="1" applyBorder="1" applyAlignment="1">
      <alignment horizontal="center" vertical="center"/>
    </xf>
    <xf numFmtId="0" fontId="10" fillId="21" borderId="48" xfId="0" applyFont="1" applyFill="1" applyBorder="1" applyAlignment="1">
      <alignment horizontal="center" vertical="center"/>
    </xf>
    <xf numFmtId="0" fontId="12" fillId="21" borderId="24" xfId="0" applyFont="1" applyFill="1" applyBorder="1" applyAlignment="1">
      <alignment horizontal="center" vertical="center" shrinkToFit="1"/>
    </xf>
    <xf numFmtId="0" fontId="12" fillId="21" borderId="35" xfId="0" applyFont="1" applyFill="1" applyBorder="1" applyAlignment="1">
      <alignment horizontal="center" vertical="center" shrinkToFit="1"/>
    </xf>
    <xf numFmtId="56" fontId="14" fillId="0" borderId="63" xfId="0" applyNumberFormat="1" applyFont="1" applyFill="1" applyBorder="1" applyAlignment="1">
      <alignment horizontal="center" vertical="center" shrinkToFit="1"/>
    </xf>
    <xf numFmtId="0" fontId="14" fillId="0" borderId="48" xfId="0" applyFont="1" applyFill="1" applyBorder="1" applyAlignment="1">
      <alignment horizontal="center" vertical="center" shrinkToFit="1"/>
    </xf>
    <xf numFmtId="0" fontId="12" fillId="0" borderId="63" xfId="0" applyFont="1" applyFill="1" applyBorder="1" applyAlignment="1">
      <alignment horizontal="center" vertical="center" wrapText="1" shrinkToFit="1"/>
    </xf>
    <xf numFmtId="178" fontId="12" fillId="21" borderId="37" xfId="0" applyNumberFormat="1" applyFont="1" applyFill="1" applyBorder="1" applyAlignment="1">
      <alignment horizontal="center" vertical="center"/>
    </xf>
    <xf numFmtId="178" fontId="12" fillId="21" borderId="48" xfId="0" applyNumberFormat="1" applyFont="1" applyFill="1" applyBorder="1" applyAlignment="1">
      <alignment horizontal="center" vertical="center"/>
    </xf>
    <xf numFmtId="0" fontId="13" fillId="25" borderId="11" xfId="63" applyFont="1" applyFill="1" applyBorder="1" applyAlignment="1">
      <alignment horizontal="center" vertical="center" shrinkToFit="1"/>
      <protection/>
    </xf>
    <xf numFmtId="0" fontId="13" fillId="25" borderId="70" xfId="63" applyFont="1" applyFill="1" applyBorder="1" applyAlignment="1">
      <alignment horizontal="center" vertical="center" shrinkToFit="1"/>
      <protection/>
    </xf>
    <xf numFmtId="0" fontId="14" fillId="25" borderId="72" xfId="63" applyFont="1" applyFill="1" applyBorder="1" applyAlignment="1">
      <alignment horizontal="center" vertical="center"/>
      <protection/>
    </xf>
    <xf numFmtId="0" fontId="14" fillId="25" borderId="73" xfId="63" applyFont="1" applyFill="1" applyBorder="1" applyAlignment="1">
      <alignment horizontal="center" vertical="center"/>
      <protection/>
    </xf>
    <xf numFmtId="0" fontId="14" fillId="25" borderId="74" xfId="63" applyFont="1" applyFill="1" applyBorder="1" applyAlignment="1">
      <alignment horizontal="center" vertical="center"/>
      <protection/>
    </xf>
    <xf numFmtId="0" fontId="14" fillId="25" borderId="75" xfId="63" applyFont="1" applyFill="1" applyBorder="1" applyAlignment="1">
      <alignment horizontal="center" vertical="center"/>
      <protection/>
    </xf>
    <xf numFmtId="0" fontId="14" fillId="25" borderId="76" xfId="63" applyFont="1" applyFill="1" applyBorder="1" applyAlignment="1">
      <alignment horizontal="center" vertical="center"/>
      <protection/>
    </xf>
    <xf numFmtId="0" fontId="14" fillId="25" borderId="77" xfId="63" applyFont="1" applyFill="1" applyBorder="1" applyAlignment="1">
      <alignment horizontal="center" vertical="center"/>
      <protection/>
    </xf>
    <xf numFmtId="0" fontId="14" fillId="25" borderId="78" xfId="63" applyFont="1" applyFill="1" applyBorder="1" applyAlignment="1">
      <alignment horizontal="center" vertical="center"/>
      <protection/>
    </xf>
    <xf numFmtId="0" fontId="14" fillId="25" borderId="79" xfId="63" applyFont="1" applyFill="1" applyBorder="1" applyAlignment="1">
      <alignment horizontal="center" vertical="center"/>
      <protection/>
    </xf>
    <xf numFmtId="0" fontId="14" fillId="25" borderId="80" xfId="63" applyFont="1" applyFill="1" applyBorder="1" applyAlignment="1">
      <alignment horizontal="center" vertical="center"/>
      <protection/>
    </xf>
    <xf numFmtId="0" fontId="13" fillId="24" borderId="11" xfId="63" applyFont="1" applyFill="1" applyBorder="1" applyAlignment="1">
      <alignment horizontal="center" vertical="center" shrinkToFit="1"/>
      <protection/>
    </xf>
    <xf numFmtId="0" fontId="13" fillId="24" borderId="93" xfId="63" applyFont="1" applyFill="1" applyBorder="1" applyAlignment="1">
      <alignment horizontal="center" vertical="center" shrinkToFit="1"/>
      <protection/>
    </xf>
    <xf numFmtId="177" fontId="14" fillId="25" borderId="106" xfId="63" applyNumberFormat="1" applyFont="1" applyFill="1" applyBorder="1" applyAlignment="1">
      <alignment horizontal="center" vertical="center" wrapText="1"/>
      <protection/>
    </xf>
    <xf numFmtId="0" fontId="11" fillId="0" borderId="63" xfId="63" applyFont="1" applyBorder="1" applyAlignment="1">
      <alignment horizontal="center" vertical="center"/>
      <protection/>
    </xf>
    <xf numFmtId="177" fontId="14" fillId="25" borderId="107" xfId="63" applyNumberFormat="1" applyFont="1" applyFill="1" applyBorder="1" applyAlignment="1">
      <alignment horizontal="center" vertical="center" wrapText="1"/>
      <protection/>
    </xf>
    <xf numFmtId="177" fontId="14" fillId="25" borderId="108" xfId="63" applyNumberFormat="1" applyFont="1" applyFill="1" applyBorder="1" applyAlignment="1">
      <alignment horizontal="center" vertical="center" wrapText="1"/>
      <protection/>
    </xf>
    <xf numFmtId="177" fontId="14" fillId="25" borderId="103" xfId="63" applyNumberFormat="1" applyFont="1" applyFill="1" applyBorder="1" applyAlignment="1">
      <alignment horizontal="center" vertical="center" wrapText="1"/>
      <protection/>
    </xf>
    <xf numFmtId="0" fontId="14" fillId="25" borderId="83" xfId="63" applyFont="1" applyFill="1" applyBorder="1" applyAlignment="1">
      <alignment horizontal="center" vertical="center"/>
      <protection/>
    </xf>
    <xf numFmtId="0" fontId="14" fillId="25" borderId="84" xfId="63" applyFont="1" applyFill="1" applyBorder="1" applyAlignment="1">
      <alignment horizontal="center" vertical="center"/>
      <protection/>
    </xf>
    <xf numFmtId="0" fontId="14" fillId="25" borderId="85" xfId="63" applyFont="1" applyFill="1" applyBorder="1" applyAlignment="1">
      <alignment horizontal="center" vertical="center"/>
      <protection/>
    </xf>
    <xf numFmtId="0" fontId="14" fillId="25" borderId="86" xfId="63" applyFont="1" applyFill="1" applyBorder="1" applyAlignment="1">
      <alignment horizontal="center" vertical="center"/>
      <protection/>
    </xf>
    <xf numFmtId="0" fontId="14" fillId="25" borderId="87" xfId="63" applyFont="1" applyFill="1" applyBorder="1" applyAlignment="1">
      <alignment horizontal="center" vertical="center"/>
      <protection/>
    </xf>
    <xf numFmtId="0" fontId="11" fillId="0" borderId="102" xfId="63" applyFont="1" applyBorder="1" applyAlignment="1">
      <alignment horizontal="center" vertical="center"/>
      <protection/>
    </xf>
    <xf numFmtId="177" fontId="14" fillId="25" borderId="23" xfId="63" applyNumberFormat="1" applyFont="1" applyFill="1" applyBorder="1" applyAlignment="1">
      <alignment horizontal="center" vertical="center" wrapText="1"/>
      <protection/>
    </xf>
    <xf numFmtId="177" fontId="14" fillId="25" borderId="0" xfId="63" applyNumberFormat="1" applyFont="1" applyFill="1" applyBorder="1" applyAlignment="1">
      <alignment horizontal="center" vertical="center" wrapText="1"/>
      <protection/>
    </xf>
    <xf numFmtId="177" fontId="14" fillId="25" borderId="24" xfId="63" applyNumberFormat="1" applyFont="1" applyFill="1" applyBorder="1" applyAlignment="1">
      <alignment horizontal="center" vertical="center" wrapText="1"/>
      <protection/>
    </xf>
    <xf numFmtId="0" fontId="11" fillId="0" borderId="37" xfId="63" applyFont="1" applyBorder="1" applyAlignment="1">
      <alignment horizontal="center" vertical="center"/>
      <protection/>
    </xf>
    <xf numFmtId="0" fontId="11" fillId="0" borderId="109" xfId="63" applyFont="1" applyBorder="1" applyAlignment="1">
      <alignment horizontal="center" vertical="center"/>
      <protection/>
    </xf>
    <xf numFmtId="0" fontId="11" fillId="3" borderId="38" xfId="63" applyFont="1" applyFill="1" applyBorder="1" applyAlignment="1">
      <alignment horizontal="center" vertical="center"/>
      <protection/>
    </xf>
    <xf numFmtId="0" fontId="11" fillId="3" borderId="48" xfId="63" applyFont="1" applyFill="1" applyBorder="1" applyAlignment="1">
      <alignment horizontal="center" vertical="center"/>
      <protection/>
    </xf>
    <xf numFmtId="0" fontId="11" fillId="3" borderId="37" xfId="63" applyFont="1" applyFill="1" applyBorder="1" applyAlignment="1">
      <alignment horizontal="center" vertical="center"/>
      <protection/>
    </xf>
    <xf numFmtId="0" fontId="11" fillId="3" borderId="39" xfId="63" applyFont="1" applyFill="1" applyBorder="1" applyAlignment="1">
      <alignment horizontal="center" vertical="center"/>
      <protection/>
    </xf>
    <xf numFmtId="0" fontId="11" fillId="3" borderId="63" xfId="63" applyFont="1" applyFill="1" applyBorder="1" applyAlignment="1">
      <alignment horizontal="center" vertical="center"/>
      <protection/>
    </xf>
    <xf numFmtId="0" fontId="11" fillId="22" borderId="42" xfId="63" applyFont="1" applyFill="1" applyBorder="1" applyAlignment="1">
      <alignment horizontal="center" vertical="center"/>
      <protection/>
    </xf>
    <xf numFmtId="0" fontId="19" fillId="0" borderId="100" xfId="0" applyFont="1" applyFill="1" applyBorder="1" applyAlignment="1">
      <alignment horizontal="center" vertical="center"/>
    </xf>
    <xf numFmtId="0" fontId="19" fillId="0" borderId="101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6" fillId="0" borderId="91" xfId="0" applyFont="1" applyFill="1" applyBorder="1" applyAlignment="1">
      <alignment horizontal="center" vertical="center"/>
    </xf>
    <xf numFmtId="0" fontId="16" fillId="0" borderId="92" xfId="0" applyFont="1" applyFill="1" applyBorder="1" applyAlignment="1">
      <alignment horizontal="center" vertical="center"/>
    </xf>
    <xf numFmtId="0" fontId="11" fillId="0" borderId="41" xfId="63" applyFont="1" applyBorder="1" applyAlignment="1">
      <alignment horizontal="center" vertical="center"/>
      <protection/>
    </xf>
    <xf numFmtId="0" fontId="11" fillId="22" borderId="50" xfId="63" applyFont="1" applyFill="1" applyBorder="1" applyAlignment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56" fontId="12" fillId="0" borderId="63" xfId="0" applyNumberFormat="1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 shrinkToFit="1"/>
    </xf>
    <xf numFmtId="0" fontId="14" fillId="0" borderId="38" xfId="0" applyFont="1" applyFill="1" applyBorder="1" applyAlignment="1">
      <alignment horizontal="center" vertical="center" wrapText="1" shrinkToFit="1"/>
    </xf>
    <xf numFmtId="0" fontId="14" fillId="0" borderId="48" xfId="0" applyFont="1" applyFill="1" applyBorder="1" applyAlignment="1">
      <alignment horizontal="center" vertical="center" wrapText="1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76" fontId="12" fillId="0" borderId="36" xfId="0" applyNumberFormat="1" applyFont="1" applyFill="1" applyBorder="1" applyAlignment="1">
      <alignment horizontal="center" vertical="center" shrinkToFit="1"/>
    </xf>
    <xf numFmtId="176" fontId="12" fillId="0" borderId="43" xfId="0" applyNumberFormat="1" applyFont="1" applyFill="1" applyBorder="1" applyAlignment="1">
      <alignment horizontal="center" vertical="center" shrinkToFit="1"/>
    </xf>
    <xf numFmtId="176" fontId="12" fillId="0" borderId="53" xfId="0" applyNumberFormat="1" applyFont="1" applyFill="1" applyBorder="1" applyAlignment="1">
      <alignment horizontal="center" vertical="center" shrinkToFit="1"/>
    </xf>
    <xf numFmtId="56" fontId="12" fillId="0" borderId="42" xfId="0" applyNumberFormat="1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/>
    </xf>
    <xf numFmtId="20" fontId="12" fillId="0" borderId="42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20" fontId="12" fillId="0" borderId="40" xfId="0" applyNumberFormat="1" applyFont="1" applyFill="1" applyBorder="1" applyAlignment="1">
      <alignment horizontal="center" vertical="center"/>
    </xf>
    <xf numFmtId="56" fontId="12" fillId="0" borderId="38" xfId="0" applyNumberFormat="1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/>
    </xf>
    <xf numFmtId="20" fontId="12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3" fillId="24" borderId="70" xfId="63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12" fillId="0" borderId="38" xfId="0" applyFont="1" applyFill="1" applyBorder="1" applyAlignment="1">
      <alignment horizontal="center" vertical="center" wrapText="1" shrinkToFit="1"/>
    </xf>
    <xf numFmtId="0" fontId="12" fillId="0" borderId="48" xfId="0" applyFont="1" applyFill="1" applyBorder="1" applyAlignment="1">
      <alignment horizontal="center" vertical="center" wrapText="1" shrinkToFit="1"/>
    </xf>
    <xf numFmtId="176" fontId="12" fillId="0" borderId="69" xfId="0" applyNumberFormat="1" applyFont="1" applyFill="1" applyBorder="1" applyAlignment="1">
      <alignment horizontal="center" vertical="center" shrinkToFit="1"/>
    </xf>
    <xf numFmtId="56" fontId="12" fillId="0" borderId="39" xfId="0" applyNumberFormat="1" applyFont="1" applyFill="1" applyBorder="1" applyAlignment="1">
      <alignment horizontal="center" vertical="center" shrinkToFit="1"/>
    </xf>
    <xf numFmtId="0" fontId="14" fillId="0" borderId="40" xfId="0" applyFont="1" applyFill="1" applyBorder="1" applyAlignment="1">
      <alignment horizontal="center" vertical="center" wrapText="1" shrinkToFit="1"/>
    </xf>
    <xf numFmtId="0" fontId="14" fillId="0" borderId="44" xfId="0" applyFont="1" applyFill="1" applyBorder="1" applyAlignment="1">
      <alignment horizontal="center" vertical="center" wrapText="1" shrinkToFit="1"/>
    </xf>
    <xf numFmtId="0" fontId="8" fillId="0" borderId="90" xfId="0" applyFont="1" applyFill="1" applyBorder="1" applyAlignment="1">
      <alignment horizontal="center" vertical="center" shrinkToFit="1"/>
    </xf>
    <xf numFmtId="56" fontId="23" fillId="0" borderId="42" xfId="0" applyNumberFormat="1" applyFont="1" applyFill="1" applyBorder="1" applyAlignment="1">
      <alignment horizontal="center" vertical="center" shrinkToFit="1"/>
    </xf>
    <xf numFmtId="0" fontId="23" fillId="0" borderId="40" xfId="0" applyFont="1" applyFill="1" applyBorder="1" applyAlignment="1">
      <alignment horizontal="center" vertical="center" shrinkToFit="1"/>
    </xf>
    <xf numFmtId="0" fontId="23" fillId="0" borderId="44" xfId="0" applyFont="1" applyFill="1" applyBorder="1" applyAlignment="1">
      <alignment horizontal="center" vertical="center" shrinkToFit="1"/>
    </xf>
    <xf numFmtId="0" fontId="8" fillId="0" borderId="88" xfId="0" applyFont="1" applyFill="1" applyBorder="1" applyAlignment="1">
      <alignment horizontal="center" vertical="center" shrinkToFit="1"/>
    </xf>
    <xf numFmtId="176" fontId="12" fillId="0" borderId="109" xfId="0" applyNumberFormat="1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Book1" xfId="63"/>
    <cellStyle name="良い" xfId="64"/>
  </cellStyles>
  <dxfs count="48"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257175</xdr:colOff>
      <xdr:row>0</xdr:row>
      <xdr:rowOff>66675</xdr:rowOff>
    </xdr:from>
    <xdr:to>
      <xdr:col>41</xdr:col>
      <xdr:colOff>38100</xdr:colOff>
      <xdr:row>3</xdr:row>
      <xdr:rowOff>38100</xdr:rowOff>
    </xdr:to>
    <xdr:sp>
      <xdr:nvSpPr>
        <xdr:cNvPr id="1" name="角丸四角形吹き出し 1"/>
        <xdr:cNvSpPr>
          <a:spLocks/>
        </xdr:cNvSpPr>
      </xdr:nvSpPr>
      <xdr:spPr>
        <a:xfrm>
          <a:off x="13306425" y="66675"/>
          <a:ext cx="1838325" cy="704850"/>
        </a:xfrm>
        <a:prstGeom prst="wedgeRoundRectCallout">
          <a:avLst>
            <a:gd name="adj1" fmla="val 61504"/>
            <a:gd name="adj2" fmla="val 21689"/>
          </a:avLst>
        </a:prstGeom>
        <a:noFill/>
        <a:ln w="25400" cmpd="sng">
          <a:solidFill>
            <a:srgbClr val="DCE6F2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１：略称表示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２：日本語略称表示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すべての表に反映</a:t>
          </a:r>
        </a:p>
      </xdr:txBody>
    </xdr:sp>
    <xdr:clientData fPrintsWithSheet="0"/>
  </xdr:twoCellAnchor>
  <xdr:twoCellAnchor>
    <xdr:from>
      <xdr:col>43</xdr:col>
      <xdr:colOff>428625</xdr:colOff>
      <xdr:row>72</xdr:row>
      <xdr:rowOff>123825</xdr:rowOff>
    </xdr:from>
    <xdr:to>
      <xdr:col>49</xdr:col>
      <xdr:colOff>466725</xdr:colOff>
      <xdr:row>81</xdr:row>
      <xdr:rowOff>0</xdr:rowOff>
    </xdr:to>
    <xdr:sp>
      <xdr:nvSpPr>
        <xdr:cNvPr id="2" name="円形吹き出し 2"/>
        <xdr:cNvSpPr>
          <a:spLocks/>
        </xdr:cNvSpPr>
      </xdr:nvSpPr>
      <xdr:spPr>
        <a:xfrm>
          <a:off x="16411575" y="18402300"/>
          <a:ext cx="2362200" cy="1590675"/>
        </a:xfrm>
        <a:prstGeom prst="wedgeEllipseCallout">
          <a:avLst>
            <a:gd name="adj1" fmla="val 41717"/>
            <a:gd name="adj2" fmla="val -68851"/>
          </a:avLst>
        </a:prstGeom>
        <a:solidFill>
          <a:srgbClr val="FFFFFF"/>
        </a:solidFill>
        <a:ln w="2857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ここのコードが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表全体に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反映します</a:t>
          </a:r>
        </a:p>
      </xdr:txBody>
    </xdr:sp>
    <xdr:clientData fPrintsWithSheet="0"/>
  </xdr:twoCellAnchor>
  <xdr:twoCellAnchor>
    <xdr:from>
      <xdr:col>1</xdr:col>
      <xdr:colOff>190500</xdr:colOff>
      <xdr:row>0</xdr:row>
      <xdr:rowOff>123825</xdr:rowOff>
    </xdr:from>
    <xdr:to>
      <xdr:col>8</xdr:col>
      <xdr:colOff>333375</xdr:colOff>
      <xdr:row>1</xdr:row>
      <xdr:rowOff>123825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42900" y="123825"/>
          <a:ext cx="3781425" cy="30480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表の下に順位並べ機能を付帯しました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s-system.jp/fs/pub_taikaigamelist.php?lid=zhbvH1tcO7+6ORhXkNKfrA==" TargetMode="External" /><Relationship Id="rId2" Type="http://schemas.openxmlformats.org/officeDocument/2006/relationships/hyperlink" Target="http://fs-system.jp/fs/pub_kaijyolist.php?lid=zhbvH1tcO7+6ORhXkNKfrA==" TargetMode="External" /><Relationship Id="rId3" Type="http://schemas.openxmlformats.org/officeDocument/2006/relationships/hyperlink" Target="http://fs-system.jp/fs/pub_teamlank.php?lid=zhbvH1tcO7+6ORhXkNKfrA==" TargetMode="External" /><Relationship Id="rId4" Type="http://schemas.openxmlformats.org/officeDocument/2006/relationships/hyperlink" Target="http://fs-system.jp/fs/pub_matrix.php?lid=zhbvH1tcO7+6ORhXkNKfrA==" TargetMode="External" /><Relationship Id="rId5" Type="http://schemas.openxmlformats.org/officeDocument/2006/relationships/hyperlink" Target="http://fs-system.jp/fs/pub_penaltylist.php?lid=zhbvH1tcO7+6ORhXkNKfrA==" TargetMode="External" /><Relationship Id="rId6" Type="http://schemas.openxmlformats.org/officeDocument/2006/relationships/hyperlink" Target="http://fs-system.jp/fs/pub_mlt_goalrank.php?lid=zhbvH1tcO7+6ORhXkNKfrA==" TargetMode="External" /><Relationship Id="rId7" Type="http://schemas.openxmlformats.org/officeDocument/2006/relationships/hyperlink" Target="http://fs-system.jp/fs/pub_fpprank.php?lid=zhbvH1tcO7+6ORhXkNKfrA==" TargetMode="External" /><Relationship Id="rId8" Type="http://schemas.openxmlformats.org/officeDocument/2006/relationships/hyperlink" Target="http://fs-system.jp/fs/pub_taikaigamelist.php?lid=FLuWDd0daWs=" TargetMode="External" /><Relationship Id="rId9" Type="http://schemas.openxmlformats.org/officeDocument/2006/relationships/hyperlink" Target="http://fs-system.jp/fs/pub_kaijyolist.php?lid=FLuWDd0daWs=" TargetMode="External" /><Relationship Id="rId10" Type="http://schemas.openxmlformats.org/officeDocument/2006/relationships/hyperlink" Target="http://fs-system.jp/fs/pub_teamlank.php?lid=FLuWDd0daWs=" TargetMode="External" /><Relationship Id="rId11" Type="http://schemas.openxmlformats.org/officeDocument/2006/relationships/hyperlink" Target="http://fs-system.jp/fs/pub_matrix.php?lid=FLuWDd0daWs=" TargetMode="External" /><Relationship Id="rId12" Type="http://schemas.openxmlformats.org/officeDocument/2006/relationships/hyperlink" Target="http://fs-system.jp/fs/pub_penaltylist.php?lid=FLuWDd0daWs=" TargetMode="External" /><Relationship Id="rId13" Type="http://schemas.openxmlformats.org/officeDocument/2006/relationships/hyperlink" Target="http://fs-system.jp/fs/pub_mlt_goalrank.php?lid=FLuWDd0daWs=" TargetMode="External" /><Relationship Id="rId14" Type="http://schemas.openxmlformats.org/officeDocument/2006/relationships/hyperlink" Target="http://fs-system.jp/fs/pub_fpprank.php?lid=FLuWDd0daWs=" TargetMode="External" /><Relationship Id="rId15" Type="http://schemas.openxmlformats.org/officeDocument/2006/relationships/hyperlink" Target="http://fs-system.jp/fs/pub_taikaigamelist.php?lid=uxaJWQpBxsk=" TargetMode="External" /><Relationship Id="rId16" Type="http://schemas.openxmlformats.org/officeDocument/2006/relationships/hyperlink" Target="http://fs-system.jp/fs/pub_kaijyolist.php?lid=uxaJWQpBxsk=" TargetMode="External" /><Relationship Id="rId17" Type="http://schemas.openxmlformats.org/officeDocument/2006/relationships/hyperlink" Target="http://fs-system.jp/fs/pub_teamlank.php?lid=uxaJWQpBxsk=" TargetMode="External" /><Relationship Id="rId18" Type="http://schemas.openxmlformats.org/officeDocument/2006/relationships/hyperlink" Target="http://fs-system.jp/fs/pub_matrix.php?lid=uxaJWQpBxsk=" TargetMode="External" /><Relationship Id="rId19" Type="http://schemas.openxmlformats.org/officeDocument/2006/relationships/hyperlink" Target="http://fs-system.jp/fs/pub_penaltylist.php?lid=uxaJWQpBxsk=" TargetMode="External" /><Relationship Id="rId20" Type="http://schemas.openxmlformats.org/officeDocument/2006/relationships/hyperlink" Target="http://fs-system.jp/fs/pub_mlt_goalrank.php?lid=uxaJWQpBxsk=" TargetMode="External" /><Relationship Id="rId21" Type="http://schemas.openxmlformats.org/officeDocument/2006/relationships/hyperlink" Target="http://fs-system.jp/fs/pub_fpprank.php?lid=uxaJWQpBxsk=" TargetMode="External" /><Relationship Id="rId22" Type="http://schemas.openxmlformats.org/officeDocument/2006/relationships/hyperlink" Target="http://fs-system.jp/fs/pub_taikaigamelist.php?lid=sG9eESVG1Bo=" TargetMode="External" /><Relationship Id="rId23" Type="http://schemas.openxmlformats.org/officeDocument/2006/relationships/hyperlink" Target="http://fs-system.jp/fs/pub_kaijyolist.php?lid=sG9eESVG1Bo=" TargetMode="External" /><Relationship Id="rId24" Type="http://schemas.openxmlformats.org/officeDocument/2006/relationships/hyperlink" Target="http://fs-system.jp/fs/pub_teamlank.php?lid=sG9eESVG1Bo=" TargetMode="External" /><Relationship Id="rId25" Type="http://schemas.openxmlformats.org/officeDocument/2006/relationships/hyperlink" Target="http://fs-system.jp/fs/pub_matrix.php?lid=sG9eESVG1Bo=" TargetMode="External" /><Relationship Id="rId26" Type="http://schemas.openxmlformats.org/officeDocument/2006/relationships/hyperlink" Target="http://fs-system.jp/fs/pub_penaltylist.php?lid=sG9eESVG1Bo=" TargetMode="External" /><Relationship Id="rId27" Type="http://schemas.openxmlformats.org/officeDocument/2006/relationships/hyperlink" Target="http://fs-system.jp/fs/pub_mlt_goalrank.php?lid=sG9eESVG1Bo=" TargetMode="External" /><Relationship Id="rId28" Type="http://schemas.openxmlformats.org/officeDocument/2006/relationships/hyperlink" Target="http://fs-system.jp/fs/pub_fpprank.php?lid=sG9eESVG1Bo=" TargetMode="Externa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4"/>
  <sheetViews>
    <sheetView view="pageBreakPreview" zoomScale="60" zoomScaleNormal="55" zoomScalePageLayoutView="0" workbookViewId="0" topLeftCell="A54">
      <selection activeCell="D76" sqref="D76"/>
    </sheetView>
  </sheetViews>
  <sheetFormatPr defaultColWidth="8.59765625" defaultRowHeight="15"/>
  <cols>
    <col min="1" max="1" width="2.19921875" style="0" customWidth="1"/>
    <col min="2" max="2" width="4.8984375" style="14" customWidth="1"/>
    <col min="3" max="3" width="50.59765625" style="14" customWidth="1"/>
    <col min="4" max="4" width="30.59765625" style="14" customWidth="1"/>
    <col min="5" max="6" width="12.59765625" style="14" customWidth="1"/>
    <col min="7" max="7" width="11.59765625" style="14" customWidth="1"/>
    <col min="8" max="11" width="2.59765625" style="0" customWidth="1"/>
  </cols>
  <sheetData>
    <row r="2" spans="2:7" ht="24">
      <c r="B2" s="53" t="s">
        <v>165</v>
      </c>
      <c r="C2" s="35"/>
      <c r="D2" s="35"/>
      <c r="E2" s="35"/>
      <c r="F2" s="35"/>
      <c r="G2" s="35"/>
    </row>
    <row r="3" ht="9.75" customHeight="1"/>
    <row r="4" spans="2:7" ht="21" customHeight="1" thickBot="1">
      <c r="B4" s="33" t="s">
        <v>61</v>
      </c>
      <c r="C4" s="48"/>
      <c r="D4" s="48"/>
      <c r="E4" s="48"/>
      <c r="F4" s="48"/>
      <c r="G4" s="48"/>
    </row>
    <row r="5" spans="2:7" ht="24.75" customHeight="1" thickBot="1">
      <c r="B5" s="52"/>
      <c r="C5" s="51" t="s">
        <v>64</v>
      </c>
      <c r="D5" s="51"/>
      <c r="E5" s="49" t="s">
        <v>65</v>
      </c>
      <c r="F5" s="55" t="s">
        <v>113</v>
      </c>
      <c r="G5" s="50" t="s">
        <v>66</v>
      </c>
    </row>
    <row r="6" spans="2:7" ht="15.75" customHeight="1">
      <c r="B6" s="154" t="s">
        <v>31</v>
      </c>
      <c r="C6" s="56" t="s">
        <v>184</v>
      </c>
      <c r="D6" s="199" t="str">
        <f>+C7</f>
        <v>ＢＡＮＦＦ ＳＥＮＤＡＩ</v>
      </c>
      <c r="E6" s="155" t="s">
        <v>151</v>
      </c>
      <c r="F6" s="157" t="s">
        <v>174</v>
      </c>
      <c r="G6" s="156" t="s">
        <v>34</v>
      </c>
    </row>
    <row r="7" spans="2:7" ht="15.75" customHeight="1">
      <c r="B7" s="181"/>
      <c r="C7" s="184" t="s">
        <v>258</v>
      </c>
      <c r="D7" s="171"/>
      <c r="E7" s="177"/>
      <c r="F7" s="179"/>
      <c r="G7" s="182"/>
    </row>
    <row r="8" spans="2:7" ht="15.75" customHeight="1">
      <c r="B8" s="181"/>
      <c r="C8" s="184"/>
      <c r="D8" s="152"/>
      <c r="E8" s="177"/>
      <c r="F8" s="179"/>
      <c r="G8" s="182"/>
    </row>
    <row r="9" spans="2:7" ht="15.75" customHeight="1">
      <c r="B9" s="181" t="s">
        <v>23</v>
      </c>
      <c r="C9" s="122" t="s">
        <v>185</v>
      </c>
      <c r="D9" s="172" t="str">
        <f>+C10</f>
        <v>ヴォスクオーレ仙台　サテライト</v>
      </c>
      <c r="E9" s="177" t="s">
        <v>255</v>
      </c>
      <c r="F9" s="179" t="s">
        <v>255</v>
      </c>
      <c r="G9" s="182" t="s">
        <v>67</v>
      </c>
    </row>
    <row r="10" spans="2:7" ht="15.75" customHeight="1">
      <c r="B10" s="181" t="s">
        <v>24</v>
      </c>
      <c r="C10" s="184" t="s">
        <v>260</v>
      </c>
      <c r="D10" s="171"/>
      <c r="E10" s="177"/>
      <c r="F10" s="179"/>
      <c r="G10" s="182"/>
    </row>
    <row r="11" spans="2:7" ht="15.75" customHeight="1">
      <c r="B11" s="181"/>
      <c r="C11" s="184"/>
      <c r="D11" s="152"/>
      <c r="E11" s="177"/>
      <c r="F11" s="179"/>
      <c r="G11" s="182"/>
    </row>
    <row r="12" spans="2:7" ht="15.75" customHeight="1">
      <c r="B12" s="181" t="s">
        <v>25</v>
      </c>
      <c r="C12" s="122" t="s">
        <v>186</v>
      </c>
      <c r="D12" s="172" t="str">
        <f>+C13</f>
        <v>かちかち山</v>
      </c>
      <c r="E12" s="177" t="s">
        <v>32</v>
      </c>
      <c r="F12" s="179" t="s">
        <v>32</v>
      </c>
      <c r="G12" s="182" t="s">
        <v>68</v>
      </c>
    </row>
    <row r="13" spans="2:7" ht="15.75" customHeight="1">
      <c r="B13" s="181" t="s">
        <v>23</v>
      </c>
      <c r="C13" s="184" t="s">
        <v>32</v>
      </c>
      <c r="D13" s="171"/>
      <c r="E13" s="177"/>
      <c r="F13" s="179"/>
      <c r="G13" s="182"/>
    </row>
    <row r="14" spans="2:7" ht="15.75" customHeight="1">
      <c r="B14" s="181"/>
      <c r="C14" s="174"/>
      <c r="D14" s="152"/>
      <c r="E14" s="177"/>
      <c r="F14" s="179"/>
      <c r="G14" s="182"/>
    </row>
    <row r="15" spans="2:7" ht="15.75" customHeight="1">
      <c r="B15" s="181" t="s">
        <v>26</v>
      </c>
      <c r="C15" s="122" t="s">
        <v>187</v>
      </c>
      <c r="D15" s="172" t="str">
        <f>+C16</f>
        <v>malva山形fc</v>
      </c>
      <c r="E15" s="177" t="s">
        <v>175</v>
      </c>
      <c r="F15" s="179" t="s">
        <v>176</v>
      </c>
      <c r="G15" s="182" t="s">
        <v>177</v>
      </c>
    </row>
    <row r="16" spans="2:7" ht="15.75" customHeight="1">
      <c r="B16" s="181" t="s">
        <v>27</v>
      </c>
      <c r="C16" s="184" t="s">
        <v>261</v>
      </c>
      <c r="D16" s="171"/>
      <c r="E16" s="177"/>
      <c r="F16" s="179"/>
      <c r="G16" s="182"/>
    </row>
    <row r="17" spans="2:7" ht="15.75" customHeight="1">
      <c r="B17" s="181"/>
      <c r="C17" s="184"/>
      <c r="D17" s="152"/>
      <c r="E17" s="177"/>
      <c r="F17" s="179"/>
      <c r="G17" s="182"/>
    </row>
    <row r="18" spans="2:7" ht="15.75" customHeight="1">
      <c r="B18" s="181" t="s">
        <v>28</v>
      </c>
      <c r="C18" s="122" t="s">
        <v>188</v>
      </c>
      <c r="D18" s="172" t="str">
        <f>+C19</f>
        <v>Sabedoria</v>
      </c>
      <c r="E18" s="177" t="s">
        <v>50</v>
      </c>
      <c r="F18" s="179" t="s">
        <v>178</v>
      </c>
      <c r="G18" s="182" t="s">
        <v>156</v>
      </c>
    </row>
    <row r="19" spans="2:7" ht="15.75" customHeight="1">
      <c r="B19" s="181" t="s">
        <v>29</v>
      </c>
      <c r="C19" s="184" t="s">
        <v>256</v>
      </c>
      <c r="D19" s="171"/>
      <c r="E19" s="177"/>
      <c r="F19" s="179"/>
      <c r="G19" s="182"/>
    </row>
    <row r="20" spans="2:7" ht="15.75" customHeight="1">
      <c r="B20" s="181"/>
      <c r="C20" s="184"/>
      <c r="D20" s="152"/>
      <c r="E20" s="177"/>
      <c r="F20" s="179"/>
      <c r="G20" s="182"/>
    </row>
    <row r="21" spans="2:7" ht="15.75" customHeight="1">
      <c r="B21" s="181" t="s">
        <v>111</v>
      </c>
      <c r="C21" s="122" t="s">
        <v>189</v>
      </c>
      <c r="D21" s="172" t="str">
        <f>+C22</f>
        <v>ｖｏｌｖｉｅｎｄｏ郡山</v>
      </c>
      <c r="E21" s="177" t="s">
        <v>179</v>
      </c>
      <c r="F21" s="179" t="s">
        <v>180</v>
      </c>
      <c r="G21" s="182" t="s">
        <v>33</v>
      </c>
    </row>
    <row r="22" spans="2:7" ht="15.75" customHeight="1">
      <c r="B22" s="181" t="s">
        <v>111</v>
      </c>
      <c r="C22" s="184" t="s">
        <v>257</v>
      </c>
      <c r="D22" s="171"/>
      <c r="E22" s="177"/>
      <c r="F22" s="179"/>
      <c r="G22" s="182"/>
    </row>
    <row r="23" spans="2:7" ht="15.75" customHeight="1">
      <c r="B23" s="181"/>
      <c r="C23" s="184"/>
      <c r="D23" s="152"/>
      <c r="E23" s="177"/>
      <c r="F23" s="179"/>
      <c r="G23" s="182"/>
    </row>
    <row r="24" spans="2:7" ht="15.75" customHeight="1">
      <c r="B24" s="181" t="s">
        <v>112</v>
      </c>
      <c r="C24" s="122" t="s">
        <v>190</v>
      </c>
      <c r="D24" s="172" t="str">
        <f>+C25</f>
        <v>東北大学フットサル部D-GUCCI</v>
      </c>
      <c r="E24" s="177" t="s">
        <v>253</v>
      </c>
      <c r="F24" s="179" t="s">
        <v>115</v>
      </c>
      <c r="G24" s="182" t="s">
        <v>67</v>
      </c>
    </row>
    <row r="25" spans="2:7" ht="15.75" customHeight="1">
      <c r="B25" s="181" t="s">
        <v>111</v>
      </c>
      <c r="C25" s="184" t="s">
        <v>259</v>
      </c>
      <c r="D25" s="171"/>
      <c r="E25" s="177"/>
      <c r="F25" s="179"/>
      <c r="G25" s="182"/>
    </row>
    <row r="26" spans="2:7" ht="15.75" customHeight="1">
      <c r="B26" s="181"/>
      <c r="C26" s="184"/>
      <c r="D26" s="152"/>
      <c r="E26" s="177"/>
      <c r="F26" s="179"/>
      <c r="G26" s="182"/>
    </row>
    <row r="27" spans="2:7" ht="15.75" customHeight="1">
      <c r="B27" s="181" t="s">
        <v>110</v>
      </c>
      <c r="C27" s="122" t="s">
        <v>191</v>
      </c>
      <c r="D27" s="172" t="str">
        <f>+C28</f>
        <v>CROSS COLOURS</v>
      </c>
      <c r="E27" s="177" t="s">
        <v>181</v>
      </c>
      <c r="F27" s="179" t="s">
        <v>182</v>
      </c>
      <c r="G27" s="182" t="s">
        <v>183</v>
      </c>
    </row>
    <row r="28" spans="2:7" ht="15.75" customHeight="1">
      <c r="B28" s="181" t="s">
        <v>30</v>
      </c>
      <c r="C28" s="184" t="s">
        <v>252</v>
      </c>
      <c r="D28" s="171"/>
      <c r="E28" s="177"/>
      <c r="F28" s="179"/>
      <c r="G28" s="182"/>
    </row>
    <row r="29" spans="2:7" ht="15.75" customHeight="1" thickBot="1">
      <c r="B29" s="175"/>
      <c r="C29" s="178"/>
      <c r="D29" s="153"/>
      <c r="E29" s="173"/>
      <c r="F29" s="176"/>
      <c r="G29" s="183"/>
    </row>
    <row r="30" ht="9.75" customHeight="1"/>
    <row r="31" spans="2:7" ht="21" customHeight="1" thickBot="1">
      <c r="B31" s="33" t="s">
        <v>62</v>
      </c>
      <c r="C31" s="48"/>
      <c r="D31" s="48"/>
      <c r="E31" s="48"/>
      <c r="F31" s="48"/>
      <c r="G31" s="48"/>
    </row>
    <row r="32" spans="2:7" ht="24.75" customHeight="1" thickBot="1">
      <c r="B32" s="52"/>
      <c r="C32" s="51" t="s">
        <v>64</v>
      </c>
      <c r="D32" s="51"/>
      <c r="E32" s="49" t="s">
        <v>65</v>
      </c>
      <c r="F32" s="55" t="s">
        <v>113</v>
      </c>
      <c r="G32" s="50" t="s">
        <v>66</v>
      </c>
    </row>
    <row r="33" spans="2:7" ht="15.75" customHeight="1">
      <c r="B33" s="154" t="s">
        <v>69</v>
      </c>
      <c r="C33" s="56" t="s">
        <v>192</v>
      </c>
      <c r="D33" s="158" t="str">
        <f>+C34</f>
        <v>Zoorasia S.F.T</v>
      </c>
      <c r="E33" s="155" t="s">
        <v>202</v>
      </c>
      <c r="F33" s="157" t="s">
        <v>203</v>
      </c>
      <c r="G33" s="156" t="s">
        <v>204</v>
      </c>
    </row>
    <row r="34" spans="2:7" ht="15.75" customHeight="1">
      <c r="B34" s="181"/>
      <c r="C34" s="184" t="s">
        <v>193</v>
      </c>
      <c r="D34" s="197"/>
      <c r="E34" s="177"/>
      <c r="F34" s="179"/>
      <c r="G34" s="182"/>
    </row>
    <row r="35" spans="2:7" ht="15.75" customHeight="1">
      <c r="B35" s="181"/>
      <c r="C35" s="184"/>
      <c r="D35" s="197"/>
      <c r="E35" s="177"/>
      <c r="F35" s="179"/>
      <c r="G35" s="182"/>
    </row>
    <row r="36" spans="2:7" ht="15.75" customHeight="1">
      <c r="B36" s="181" t="s">
        <v>36</v>
      </c>
      <c r="C36" s="122" t="s">
        <v>194</v>
      </c>
      <c r="D36" s="197" t="str">
        <f>+C37</f>
        <v>アトレチコ　郡山</v>
      </c>
      <c r="E36" s="177" t="s">
        <v>148</v>
      </c>
      <c r="F36" s="179" t="s">
        <v>205</v>
      </c>
      <c r="G36" s="182" t="s">
        <v>33</v>
      </c>
    </row>
    <row r="37" spans="2:7" ht="15.75" customHeight="1">
      <c r="B37" s="181"/>
      <c r="C37" s="184" t="s">
        <v>262</v>
      </c>
      <c r="D37" s="197"/>
      <c r="E37" s="177"/>
      <c r="F37" s="179"/>
      <c r="G37" s="182"/>
    </row>
    <row r="38" spans="2:7" ht="15.75" customHeight="1">
      <c r="B38" s="181"/>
      <c r="C38" s="184"/>
      <c r="D38" s="197"/>
      <c r="E38" s="177"/>
      <c r="F38" s="179"/>
      <c r="G38" s="182"/>
    </row>
    <row r="39" spans="2:7" ht="15.75" customHeight="1">
      <c r="B39" s="181" t="s">
        <v>37</v>
      </c>
      <c r="C39" s="122" t="s">
        <v>195</v>
      </c>
      <c r="D39" s="197" t="str">
        <f>+C40</f>
        <v>azul el cielo</v>
      </c>
      <c r="E39" s="177" t="s">
        <v>206</v>
      </c>
      <c r="F39" s="179" t="s">
        <v>207</v>
      </c>
      <c r="G39" s="182" t="s">
        <v>34</v>
      </c>
    </row>
    <row r="40" spans="2:7" ht="15.75" customHeight="1">
      <c r="B40" s="181"/>
      <c r="C40" s="184" t="s">
        <v>196</v>
      </c>
      <c r="D40" s="197"/>
      <c r="E40" s="177"/>
      <c r="F40" s="179"/>
      <c r="G40" s="182"/>
    </row>
    <row r="41" spans="2:7" ht="15.75" customHeight="1">
      <c r="B41" s="181"/>
      <c r="C41" s="184"/>
      <c r="D41" s="197"/>
      <c r="E41" s="177"/>
      <c r="F41" s="179"/>
      <c r="G41" s="182"/>
    </row>
    <row r="42" spans="2:7" ht="15.75" customHeight="1">
      <c r="B42" s="181" t="s">
        <v>38</v>
      </c>
      <c r="C42" s="122" t="s">
        <v>197</v>
      </c>
      <c r="D42" s="197" t="str">
        <f>+C43</f>
        <v>ULTIMO</v>
      </c>
      <c r="E42" s="177" t="s">
        <v>208</v>
      </c>
      <c r="F42" s="179" t="s">
        <v>209</v>
      </c>
      <c r="G42" s="182" t="s">
        <v>204</v>
      </c>
    </row>
    <row r="43" spans="2:7" ht="15.75" customHeight="1">
      <c r="B43" s="181"/>
      <c r="C43" s="184" t="s">
        <v>198</v>
      </c>
      <c r="D43" s="197"/>
      <c r="E43" s="177"/>
      <c r="F43" s="179"/>
      <c r="G43" s="182"/>
    </row>
    <row r="44" spans="2:7" ht="15.75" customHeight="1">
      <c r="B44" s="181"/>
      <c r="C44" s="184"/>
      <c r="D44" s="197"/>
      <c r="E44" s="177"/>
      <c r="F44" s="179"/>
      <c r="G44" s="182"/>
    </row>
    <row r="45" spans="2:7" ht="15.75" customHeight="1">
      <c r="B45" s="181" t="s">
        <v>39</v>
      </c>
      <c r="C45" s="122" t="s">
        <v>199</v>
      </c>
      <c r="D45" s="197" t="str">
        <f>+C46</f>
        <v>上山カメレオンFC</v>
      </c>
      <c r="E45" s="177" t="s">
        <v>210</v>
      </c>
      <c r="F45" s="179" t="s">
        <v>210</v>
      </c>
      <c r="G45" s="182" t="s">
        <v>177</v>
      </c>
    </row>
    <row r="46" spans="2:7" ht="15.75" customHeight="1">
      <c r="B46" s="181"/>
      <c r="C46" s="184" t="s">
        <v>200</v>
      </c>
      <c r="D46" s="197"/>
      <c r="E46" s="177"/>
      <c r="F46" s="179"/>
      <c r="G46" s="182"/>
    </row>
    <row r="47" spans="2:7" ht="15.75" customHeight="1">
      <c r="B47" s="181"/>
      <c r="C47" s="184"/>
      <c r="D47" s="197"/>
      <c r="E47" s="177"/>
      <c r="F47" s="179"/>
      <c r="G47" s="182"/>
    </row>
    <row r="48" spans="2:7" ht="15.75" customHeight="1">
      <c r="B48" s="181" t="s">
        <v>40</v>
      </c>
      <c r="C48" s="122" t="s">
        <v>201</v>
      </c>
      <c r="D48" s="197" t="str">
        <f>+C49</f>
        <v>Ｃｒａｑｕｅ天童</v>
      </c>
      <c r="E48" s="177" t="s">
        <v>211</v>
      </c>
      <c r="F48" s="179" t="s">
        <v>212</v>
      </c>
      <c r="G48" s="182" t="s">
        <v>177</v>
      </c>
    </row>
    <row r="49" spans="2:7" ht="15.75" customHeight="1">
      <c r="B49" s="181"/>
      <c r="C49" s="184" t="s">
        <v>263</v>
      </c>
      <c r="D49" s="197"/>
      <c r="E49" s="177"/>
      <c r="F49" s="179"/>
      <c r="G49" s="182"/>
    </row>
    <row r="50" spans="2:7" ht="15.75" customHeight="1" thickBot="1">
      <c r="B50" s="175"/>
      <c r="C50" s="178"/>
      <c r="D50" s="198"/>
      <c r="E50" s="173"/>
      <c r="F50" s="176"/>
      <c r="G50" s="183"/>
    </row>
    <row r="51" ht="9.75" customHeight="1"/>
    <row r="52" spans="2:7" ht="21" customHeight="1" thickBot="1">
      <c r="B52" s="33" t="s">
        <v>63</v>
      </c>
      <c r="C52" s="48"/>
      <c r="D52" s="48"/>
      <c r="E52" s="48"/>
      <c r="F52" s="48"/>
      <c r="G52" s="48"/>
    </row>
    <row r="53" spans="2:7" ht="24.75" customHeight="1" thickBot="1">
      <c r="B53" s="52"/>
      <c r="C53" s="51" t="s">
        <v>64</v>
      </c>
      <c r="D53" s="51"/>
      <c r="E53" s="49" t="s">
        <v>65</v>
      </c>
      <c r="F53" s="55" t="s">
        <v>113</v>
      </c>
      <c r="G53" s="50" t="s">
        <v>66</v>
      </c>
    </row>
    <row r="54" spans="2:7" ht="15.75" customHeight="1">
      <c r="B54" s="154" t="s">
        <v>70</v>
      </c>
      <c r="C54" s="122" t="s">
        <v>213</v>
      </c>
      <c r="D54" s="158" t="str">
        <f>+C55</f>
        <v>Itatica八戸</v>
      </c>
      <c r="E54" s="177" t="s">
        <v>219</v>
      </c>
      <c r="F54" s="179" t="s">
        <v>220</v>
      </c>
      <c r="G54" s="182" t="s">
        <v>35</v>
      </c>
    </row>
    <row r="55" spans="2:7" ht="15.75" customHeight="1">
      <c r="B55" s="181"/>
      <c r="C55" s="184" t="s">
        <v>114</v>
      </c>
      <c r="D55" s="197"/>
      <c r="E55" s="177"/>
      <c r="F55" s="179"/>
      <c r="G55" s="182"/>
    </row>
    <row r="56" spans="2:7" ht="15.75" customHeight="1">
      <c r="B56" s="181"/>
      <c r="C56" s="184"/>
      <c r="D56" s="197"/>
      <c r="E56" s="177"/>
      <c r="F56" s="179"/>
      <c r="G56" s="182"/>
    </row>
    <row r="57" spans="2:7" ht="15.75" customHeight="1">
      <c r="B57" s="181" t="s">
        <v>71</v>
      </c>
      <c r="C57" s="122" t="s">
        <v>214</v>
      </c>
      <c r="D57" s="197" t="str">
        <f>+C58</f>
        <v>ヴィヴァーレ一関</v>
      </c>
      <c r="E57" s="177" t="s">
        <v>221</v>
      </c>
      <c r="F57" s="179" t="s">
        <v>221</v>
      </c>
      <c r="G57" s="182" t="s">
        <v>183</v>
      </c>
    </row>
    <row r="58" spans="2:7" ht="15.75" customHeight="1">
      <c r="B58" s="181" t="s">
        <v>60</v>
      </c>
      <c r="C58" s="184" t="s">
        <v>250</v>
      </c>
      <c r="D58" s="197"/>
      <c r="E58" s="177"/>
      <c r="F58" s="179"/>
      <c r="G58" s="182"/>
    </row>
    <row r="59" spans="2:7" ht="15.75" customHeight="1">
      <c r="B59" s="181"/>
      <c r="C59" s="184"/>
      <c r="D59" s="197"/>
      <c r="E59" s="177"/>
      <c r="F59" s="179"/>
      <c r="G59" s="182"/>
    </row>
    <row r="60" spans="2:7" ht="15.75" customHeight="1">
      <c r="B60" s="181" t="s">
        <v>72</v>
      </c>
      <c r="C60" s="122" t="s">
        <v>215</v>
      </c>
      <c r="D60" s="197" t="str">
        <f>+C61</f>
        <v>Ｃａｒｉｏｃａ　青森</v>
      </c>
      <c r="E60" s="177" t="s">
        <v>222</v>
      </c>
      <c r="F60" s="179" t="s">
        <v>223</v>
      </c>
      <c r="G60" s="182" t="s">
        <v>183</v>
      </c>
    </row>
    <row r="61" spans="2:7" ht="15.75" customHeight="1">
      <c r="B61" s="181" t="s">
        <v>60</v>
      </c>
      <c r="C61" s="184" t="s">
        <v>264</v>
      </c>
      <c r="D61" s="197"/>
      <c r="E61" s="177"/>
      <c r="F61" s="179"/>
      <c r="G61" s="182"/>
    </row>
    <row r="62" spans="2:7" ht="15.75" customHeight="1">
      <c r="B62" s="181"/>
      <c r="C62" s="184"/>
      <c r="D62" s="197"/>
      <c r="E62" s="177"/>
      <c r="F62" s="179"/>
      <c r="G62" s="182"/>
    </row>
    <row r="63" spans="2:7" ht="15.75" customHeight="1">
      <c r="B63" s="181" t="s">
        <v>73</v>
      </c>
      <c r="C63" s="122" t="s">
        <v>216</v>
      </c>
      <c r="D63" s="197" t="str">
        <f>+C64</f>
        <v>ステラミーゴいわて花巻/AMV</v>
      </c>
      <c r="E63" s="177" t="s">
        <v>224</v>
      </c>
      <c r="F63" s="179" t="s">
        <v>224</v>
      </c>
      <c r="G63" s="182" t="s">
        <v>156</v>
      </c>
    </row>
    <row r="64" spans="2:7" ht="15.75" customHeight="1">
      <c r="B64" s="181" t="s">
        <v>60</v>
      </c>
      <c r="C64" s="184" t="s">
        <v>265</v>
      </c>
      <c r="D64" s="197"/>
      <c r="E64" s="177"/>
      <c r="F64" s="179"/>
      <c r="G64" s="182"/>
    </row>
    <row r="65" spans="2:7" ht="15.75" customHeight="1">
      <c r="B65" s="181"/>
      <c r="C65" s="184"/>
      <c r="D65" s="197"/>
      <c r="E65" s="177"/>
      <c r="F65" s="179"/>
      <c r="G65" s="182"/>
    </row>
    <row r="66" spans="2:7" ht="15.75" customHeight="1">
      <c r="B66" s="181" t="s">
        <v>74</v>
      </c>
      <c r="C66" s="122" t="s">
        <v>217</v>
      </c>
      <c r="D66" s="197" t="str">
        <f>+C67</f>
        <v>Ｆ・Ｒｉｏｎきみまち</v>
      </c>
      <c r="E66" s="177" t="s">
        <v>225</v>
      </c>
      <c r="F66" s="179" t="s">
        <v>226</v>
      </c>
      <c r="G66" s="182" t="s">
        <v>135</v>
      </c>
    </row>
    <row r="67" spans="2:7" ht="15.75" customHeight="1">
      <c r="B67" s="181" t="s">
        <v>60</v>
      </c>
      <c r="C67" s="184" t="s">
        <v>251</v>
      </c>
      <c r="D67" s="197"/>
      <c r="E67" s="177"/>
      <c r="F67" s="179"/>
      <c r="G67" s="182"/>
    </row>
    <row r="68" spans="2:7" ht="15.75" customHeight="1">
      <c r="B68" s="181"/>
      <c r="C68" s="184"/>
      <c r="D68" s="197"/>
      <c r="E68" s="177"/>
      <c r="F68" s="179"/>
      <c r="G68" s="182"/>
    </row>
    <row r="69" spans="2:7" ht="15.75" customHeight="1">
      <c r="B69" s="181" t="s">
        <v>41</v>
      </c>
      <c r="C69" s="122" t="s">
        <v>218</v>
      </c>
      <c r="D69" s="197" t="str">
        <f>+C70</f>
        <v>PIETRA</v>
      </c>
      <c r="E69" s="177" t="s">
        <v>227</v>
      </c>
      <c r="F69" s="179" t="s">
        <v>228</v>
      </c>
      <c r="G69" s="182" t="s">
        <v>135</v>
      </c>
    </row>
    <row r="70" spans="2:7" ht="15.75" customHeight="1">
      <c r="B70" s="181"/>
      <c r="C70" s="184" t="s">
        <v>266</v>
      </c>
      <c r="D70" s="197"/>
      <c r="E70" s="177"/>
      <c r="F70" s="179"/>
      <c r="G70" s="182"/>
    </row>
    <row r="71" spans="2:7" ht="15.75" customHeight="1" thickBot="1">
      <c r="B71" s="175"/>
      <c r="C71" s="178"/>
      <c r="D71" s="198"/>
      <c r="E71" s="173"/>
      <c r="F71" s="176"/>
      <c r="G71" s="183"/>
    </row>
    <row r="72" ht="14.25" customHeight="1"/>
    <row r="73" spans="2:7" ht="14.25" customHeight="1">
      <c r="B73" s="100"/>
      <c r="C73" s="101"/>
      <c r="D73" s="101"/>
      <c r="E73" s="101"/>
      <c r="F73" s="101"/>
      <c r="G73" s="102"/>
    </row>
    <row r="74" ht="14.25" customHeight="1"/>
    <row r="75" spans="2:7" ht="14.25" customHeight="1">
      <c r="B75" s="134"/>
      <c r="C75" s="17"/>
      <c r="D75" s="132"/>
      <c r="E75" s="132"/>
      <c r="F75" s="132"/>
      <c r="G75" s="133"/>
    </row>
    <row r="76" spans="2:7" ht="24" customHeight="1">
      <c r="B76" s="134"/>
      <c r="C76" s="138" t="s">
        <v>268</v>
      </c>
      <c r="D76" s="139"/>
      <c r="E76" s="140"/>
      <c r="F76" s="140"/>
      <c r="G76" s="141"/>
    </row>
    <row r="77" spans="2:7" ht="15" customHeight="1">
      <c r="B77" s="134"/>
      <c r="C77" s="120"/>
      <c r="D77" s="135"/>
      <c r="E77" s="136"/>
      <c r="F77" s="136"/>
      <c r="G77" s="137"/>
    </row>
    <row r="78" spans="2:7" ht="15" customHeight="1">
      <c r="B78" s="134"/>
      <c r="C78" s="118"/>
      <c r="D78" s="119"/>
      <c r="E78" s="114"/>
      <c r="F78" s="114"/>
      <c r="G78" s="134"/>
    </row>
    <row r="79" spans="2:7" ht="30" customHeight="1">
      <c r="B79" s="134"/>
      <c r="C79" s="142" t="s">
        <v>269</v>
      </c>
      <c r="D79" s="70"/>
      <c r="E79" s="143"/>
      <c r="F79" s="143"/>
      <c r="G79" s="144"/>
    </row>
    <row r="80" spans="2:7" ht="30" customHeight="1">
      <c r="B80" s="134"/>
      <c r="C80" s="146" t="s">
        <v>270</v>
      </c>
      <c r="D80" s="185" t="s">
        <v>277</v>
      </c>
      <c r="E80" s="186"/>
      <c r="F80" s="186"/>
      <c r="G80" s="187"/>
    </row>
    <row r="81" spans="2:7" ht="30" customHeight="1">
      <c r="B81" s="134"/>
      <c r="C81" s="147" t="s">
        <v>271</v>
      </c>
      <c r="D81" s="188" t="s">
        <v>278</v>
      </c>
      <c r="E81" s="189"/>
      <c r="F81" s="189"/>
      <c r="G81" s="190"/>
    </row>
    <row r="82" spans="2:7" ht="30" customHeight="1">
      <c r="B82" s="134"/>
      <c r="C82" s="147" t="s">
        <v>272</v>
      </c>
      <c r="D82" s="188" t="s">
        <v>279</v>
      </c>
      <c r="E82" s="189"/>
      <c r="F82" s="189"/>
      <c r="G82" s="190"/>
    </row>
    <row r="83" spans="2:7" ht="30" customHeight="1">
      <c r="B83" s="134"/>
      <c r="C83" s="147" t="s">
        <v>273</v>
      </c>
      <c r="D83" s="188" t="s">
        <v>280</v>
      </c>
      <c r="E83" s="189"/>
      <c r="F83" s="189"/>
      <c r="G83" s="190"/>
    </row>
    <row r="84" spans="2:7" ht="30" customHeight="1">
      <c r="B84" s="134"/>
      <c r="C84" s="147" t="s">
        <v>274</v>
      </c>
      <c r="D84" s="188" t="s">
        <v>281</v>
      </c>
      <c r="E84" s="189"/>
      <c r="F84" s="189"/>
      <c r="G84" s="190"/>
    </row>
    <row r="85" spans="2:7" ht="30" customHeight="1">
      <c r="B85" s="134"/>
      <c r="C85" s="147" t="s">
        <v>275</v>
      </c>
      <c r="D85" s="188" t="s">
        <v>282</v>
      </c>
      <c r="E85" s="189"/>
      <c r="F85" s="189"/>
      <c r="G85" s="190"/>
    </row>
    <row r="86" spans="2:7" ht="30" customHeight="1">
      <c r="B86" s="134"/>
      <c r="C86" s="148" t="s">
        <v>276</v>
      </c>
      <c r="D86" s="191" t="s">
        <v>283</v>
      </c>
      <c r="E86" s="192"/>
      <c r="F86" s="192"/>
      <c r="G86" s="193"/>
    </row>
    <row r="87" spans="2:7" ht="30" customHeight="1">
      <c r="B87" s="134"/>
      <c r="C87" s="145"/>
      <c r="D87" s="194"/>
      <c r="E87" s="194"/>
      <c r="F87" s="194"/>
      <c r="G87" s="195"/>
    </row>
    <row r="88" spans="2:7" ht="30" customHeight="1">
      <c r="B88" s="134"/>
      <c r="C88" s="142" t="s">
        <v>289</v>
      </c>
      <c r="D88" s="196"/>
      <c r="E88" s="196"/>
      <c r="F88" s="196"/>
      <c r="G88" s="180"/>
    </row>
    <row r="89" spans="2:7" ht="30" customHeight="1">
      <c r="B89" s="134"/>
      <c r="C89" s="146" t="s">
        <v>270</v>
      </c>
      <c r="D89" s="185" t="s">
        <v>290</v>
      </c>
      <c r="E89" s="186"/>
      <c r="F89" s="186"/>
      <c r="G89" s="187"/>
    </row>
    <row r="90" spans="2:7" ht="30" customHeight="1">
      <c r="B90" s="134"/>
      <c r="C90" s="147" t="s">
        <v>271</v>
      </c>
      <c r="D90" s="188" t="s">
        <v>291</v>
      </c>
      <c r="E90" s="189"/>
      <c r="F90" s="189"/>
      <c r="G90" s="190"/>
    </row>
    <row r="91" spans="2:7" ht="30" customHeight="1">
      <c r="B91" s="134"/>
      <c r="C91" s="147" t="s">
        <v>272</v>
      </c>
      <c r="D91" s="188" t="s">
        <v>292</v>
      </c>
      <c r="E91" s="189"/>
      <c r="F91" s="189"/>
      <c r="G91" s="190"/>
    </row>
    <row r="92" spans="2:7" ht="30" customHeight="1">
      <c r="B92" s="134"/>
      <c r="C92" s="147" t="s">
        <v>273</v>
      </c>
      <c r="D92" s="188" t="s">
        <v>293</v>
      </c>
      <c r="E92" s="189"/>
      <c r="F92" s="189"/>
      <c r="G92" s="190"/>
    </row>
    <row r="93" spans="2:7" ht="30" customHeight="1">
      <c r="B93" s="134"/>
      <c r="C93" s="147" t="s">
        <v>274</v>
      </c>
      <c r="D93" s="188" t="s">
        <v>294</v>
      </c>
      <c r="E93" s="189"/>
      <c r="F93" s="189"/>
      <c r="G93" s="190"/>
    </row>
    <row r="94" spans="2:7" ht="30" customHeight="1">
      <c r="B94" s="134"/>
      <c r="C94" s="147" t="s">
        <v>275</v>
      </c>
      <c r="D94" s="188" t="s">
        <v>295</v>
      </c>
      <c r="E94" s="189"/>
      <c r="F94" s="189"/>
      <c r="G94" s="190"/>
    </row>
    <row r="95" spans="2:7" ht="30" customHeight="1">
      <c r="B95" s="134"/>
      <c r="C95" s="148" t="s">
        <v>276</v>
      </c>
      <c r="D95" s="191" t="s">
        <v>296</v>
      </c>
      <c r="E95" s="192"/>
      <c r="F95" s="192"/>
      <c r="G95" s="193"/>
    </row>
    <row r="96" spans="2:7" ht="30" customHeight="1">
      <c r="B96" s="134"/>
      <c r="C96" s="145"/>
      <c r="D96" s="194"/>
      <c r="E96" s="194"/>
      <c r="F96" s="194"/>
      <c r="G96" s="195"/>
    </row>
    <row r="97" spans="2:7" ht="30" customHeight="1">
      <c r="B97" s="134"/>
      <c r="C97" s="142" t="s">
        <v>287</v>
      </c>
      <c r="D97" s="196"/>
      <c r="E97" s="196"/>
      <c r="F97" s="196"/>
      <c r="G97" s="180"/>
    </row>
    <row r="98" spans="2:7" ht="30" customHeight="1">
      <c r="B98" s="134"/>
      <c r="C98" s="146" t="s">
        <v>270</v>
      </c>
      <c r="D98" s="185" t="s">
        <v>297</v>
      </c>
      <c r="E98" s="186"/>
      <c r="F98" s="186"/>
      <c r="G98" s="187"/>
    </row>
    <row r="99" spans="2:7" ht="30" customHeight="1">
      <c r="B99" s="134"/>
      <c r="C99" s="147" t="s">
        <v>271</v>
      </c>
      <c r="D99" s="188" t="s">
        <v>298</v>
      </c>
      <c r="E99" s="189"/>
      <c r="F99" s="189"/>
      <c r="G99" s="190"/>
    </row>
    <row r="100" spans="2:7" ht="30" customHeight="1">
      <c r="B100" s="134"/>
      <c r="C100" s="147" t="s">
        <v>272</v>
      </c>
      <c r="D100" s="188" t="s">
        <v>299</v>
      </c>
      <c r="E100" s="189"/>
      <c r="F100" s="189"/>
      <c r="G100" s="190"/>
    </row>
    <row r="101" spans="2:7" ht="30" customHeight="1">
      <c r="B101" s="134"/>
      <c r="C101" s="147" t="s">
        <v>273</v>
      </c>
      <c r="D101" s="188" t="s">
        <v>300</v>
      </c>
      <c r="E101" s="189"/>
      <c r="F101" s="189"/>
      <c r="G101" s="190"/>
    </row>
    <row r="102" spans="2:7" ht="30" customHeight="1">
      <c r="B102" s="134"/>
      <c r="C102" s="147" t="s">
        <v>274</v>
      </c>
      <c r="D102" s="188" t="s">
        <v>301</v>
      </c>
      <c r="E102" s="189"/>
      <c r="F102" s="189"/>
      <c r="G102" s="190"/>
    </row>
    <row r="103" spans="2:7" ht="30" customHeight="1">
      <c r="B103" s="134"/>
      <c r="C103" s="147" t="s">
        <v>275</v>
      </c>
      <c r="D103" s="188" t="s">
        <v>302</v>
      </c>
      <c r="E103" s="189"/>
      <c r="F103" s="189"/>
      <c r="G103" s="190"/>
    </row>
    <row r="104" spans="2:7" ht="30" customHeight="1">
      <c r="B104" s="134"/>
      <c r="C104" s="148" t="s">
        <v>276</v>
      </c>
      <c r="D104" s="191" t="s">
        <v>303</v>
      </c>
      <c r="E104" s="192"/>
      <c r="F104" s="192"/>
      <c r="G104" s="193"/>
    </row>
    <row r="105" spans="2:7" ht="30" customHeight="1">
      <c r="B105" s="134"/>
      <c r="C105" s="145"/>
      <c r="D105" s="194"/>
      <c r="E105" s="194"/>
      <c r="F105" s="194"/>
      <c r="G105" s="195"/>
    </row>
    <row r="106" spans="2:7" ht="30" customHeight="1">
      <c r="B106" s="134"/>
      <c r="C106" s="142" t="s">
        <v>288</v>
      </c>
      <c r="D106" s="196"/>
      <c r="E106" s="196"/>
      <c r="F106" s="196"/>
      <c r="G106" s="180"/>
    </row>
    <row r="107" spans="2:7" ht="30" customHeight="1">
      <c r="B107" s="134"/>
      <c r="C107" s="146" t="s">
        <v>270</v>
      </c>
      <c r="D107" s="185" t="s">
        <v>304</v>
      </c>
      <c r="E107" s="186"/>
      <c r="F107" s="186"/>
      <c r="G107" s="187"/>
    </row>
    <row r="108" spans="2:7" ht="30" customHeight="1">
      <c r="B108" s="134"/>
      <c r="C108" s="147" t="s">
        <v>271</v>
      </c>
      <c r="D108" s="188" t="s">
        <v>284</v>
      </c>
      <c r="E108" s="189"/>
      <c r="F108" s="189"/>
      <c r="G108" s="190"/>
    </row>
    <row r="109" spans="2:7" ht="30" customHeight="1">
      <c r="B109" s="134"/>
      <c r="C109" s="147" t="s">
        <v>272</v>
      </c>
      <c r="D109" s="188" t="s">
        <v>305</v>
      </c>
      <c r="E109" s="189"/>
      <c r="F109" s="189"/>
      <c r="G109" s="190"/>
    </row>
    <row r="110" spans="2:7" ht="30" customHeight="1">
      <c r="B110" s="134"/>
      <c r="C110" s="147" t="s">
        <v>273</v>
      </c>
      <c r="D110" s="188" t="s">
        <v>285</v>
      </c>
      <c r="E110" s="189"/>
      <c r="F110" s="189"/>
      <c r="G110" s="190"/>
    </row>
    <row r="111" spans="2:7" ht="30" customHeight="1">
      <c r="B111" s="134"/>
      <c r="C111" s="147" t="s">
        <v>274</v>
      </c>
      <c r="D111" s="188" t="s">
        <v>286</v>
      </c>
      <c r="E111" s="189"/>
      <c r="F111" s="189"/>
      <c r="G111" s="190"/>
    </row>
    <row r="112" spans="2:7" ht="30" customHeight="1">
      <c r="B112" s="134"/>
      <c r="C112" s="147" t="s">
        <v>275</v>
      </c>
      <c r="D112" s="188" t="s">
        <v>306</v>
      </c>
      <c r="E112" s="189"/>
      <c r="F112" s="189"/>
      <c r="G112" s="190"/>
    </row>
    <row r="113" spans="2:7" ht="30" customHeight="1">
      <c r="B113" s="134"/>
      <c r="C113" s="148" t="s">
        <v>276</v>
      </c>
      <c r="D113" s="191" t="s">
        <v>307</v>
      </c>
      <c r="E113" s="192"/>
      <c r="F113" s="192"/>
      <c r="G113" s="193"/>
    </row>
    <row r="114" spans="2:7" ht="14.25">
      <c r="B114" s="134"/>
      <c r="C114" s="120"/>
      <c r="D114" s="135"/>
      <c r="E114" s="136"/>
      <c r="F114" s="136"/>
      <c r="G114" s="137"/>
    </row>
  </sheetData>
  <sheetProtection sheet="1" objects="1" scenarios="1"/>
  <mergeCells count="154">
    <mergeCell ref="D6:D8"/>
    <mergeCell ref="D9:D11"/>
    <mergeCell ref="D12:D14"/>
    <mergeCell ref="D15:D17"/>
    <mergeCell ref="G60:G62"/>
    <mergeCell ref="C61:C62"/>
    <mergeCell ref="G63:G65"/>
    <mergeCell ref="D60:D62"/>
    <mergeCell ref="D63:D65"/>
    <mergeCell ref="B60:B62"/>
    <mergeCell ref="E60:E62"/>
    <mergeCell ref="B69:B71"/>
    <mergeCell ref="E69:E71"/>
    <mergeCell ref="B63:B65"/>
    <mergeCell ref="E63:E65"/>
    <mergeCell ref="B66:B68"/>
    <mergeCell ref="D69:D71"/>
    <mergeCell ref="G69:G71"/>
    <mergeCell ref="C70:C71"/>
    <mergeCell ref="G66:G68"/>
    <mergeCell ref="C67:C68"/>
    <mergeCell ref="F69:F71"/>
    <mergeCell ref="D66:D68"/>
    <mergeCell ref="F66:F68"/>
    <mergeCell ref="E66:E68"/>
    <mergeCell ref="B48:B50"/>
    <mergeCell ref="E48:E50"/>
    <mergeCell ref="G48:G50"/>
    <mergeCell ref="C49:C50"/>
    <mergeCell ref="F48:F50"/>
    <mergeCell ref="D48:D50"/>
    <mergeCell ref="B57:B59"/>
    <mergeCell ref="E57:E59"/>
    <mergeCell ref="G57:G59"/>
    <mergeCell ref="C58:C59"/>
    <mergeCell ref="D57:D59"/>
    <mergeCell ref="B54:B56"/>
    <mergeCell ref="E54:E56"/>
    <mergeCell ref="G54:G56"/>
    <mergeCell ref="C55:C56"/>
    <mergeCell ref="D54:D56"/>
    <mergeCell ref="B42:B44"/>
    <mergeCell ref="E42:E44"/>
    <mergeCell ref="G42:G44"/>
    <mergeCell ref="C43:C44"/>
    <mergeCell ref="F42:F44"/>
    <mergeCell ref="D42:D44"/>
    <mergeCell ref="B45:B47"/>
    <mergeCell ref="E45:E47"/>
    <mergeCell ref="G45:G47"/>
    <mergeCell ref="C46:C47"/>
    <mergeCell ref="F45:F47"/>
    <mergeCell ref="D45:D47"/>
    <mergeCell ref="B12:B14"/>
    <mergeCell ref="B15:B17"/>
    <mergeCell ref="B39:B41"/>
    <mergeCell ref="E39:E41"/>
    <mergeCell ref="C40:C41"/>
    <mergeCell ref="D39:D41"/>
    <mergeCell ref="B36:B38"/>
    <mergeCell ref="E36:E38"/>
    <mergeCell ref="C37:C38"/>
    <mergeCell ref="D36:D38"/>
    <mergeCell ref="G9:G11"/>
    <mergeCell ref="C10:C11"/>
    <mergeCell ref="B6:B8"/>
    <mergeCell ref="C7:C8"/>
    <mergeCell ref="E6:E8"/>
    <mergeCell ref="G6:G8"/>
    <mergeCell ref="F6:F8"/>
    <mergeCell ref="F9:F11"/>
    <mergeCell ref="B9:B11"/>
    <mergeCell ref="E9:E11"/>
    <mergeCell ref="G18:G20"/>
    <mergeCell ref="B33:B35"/>
    <mergeCell ref="E33:E35"/>
    <mergeCell ref="G33:G35"/>
    <mergeCell ref="C34:C35"/>
    <mergeCell ref="F33:F35"/>
    <mergeCell ref="D33:D35"/>
    <mergeCell ref="E21:E23"/>
    <mergeCell ref="F18:F20"/>
    <mergeCell ref="F21:F23"/>
    <mergeCell ref="G21:G23"/>
    <mergeCell ref="C22:C23"/>
    <mergeCell ref="F54:F56"/>
    <mergeCell ref="F57:F59"/>
    <mergeCell ref="D21:D23"/>
    <mergeCell ref="D24:D26"/>
    <mergeCell ref="D27:D29"/>
    <mergeCell ref="G39:G41"/>
    <mergeCell ref="F39:F41"/>
    <mergeCell ref="G36:G38"/>
    <mergeCell ref="E18:E20"/>
    <mergeCell ref="C19:C20"/>
    <mergeCell ref="F60:F62"/>
    <mergeCell ref="F63:F65"/>
    <mergeCell ref="C25:C26"/>
    <mergeCell ref="F24:F26"/>
    <mergeCell ref="C64:C65"/>
    <mergeCell ref="D18:D20"/>
    <mergeCell ref="F36:F38"/>
    <mergeCell ref="C13:C14"/>
    <mergeCell ref="E15:E17"/>
    <mergeCell ref="G15:G17"/>
    <mergeCell ref="C16:C17"/>
    <mergeCell ref="E12:E14"/>
    <mergeCell ref="F12:F14"/>
    <mergeCell ref="F15:F17"/>
    <mergeCell ref="G12:G14"/>
    <mergeCell ref="B18:B20"/>
    <mergeCell ref="B21:B23"/>
    <mergeCell ref="G27:G29"/>
    <mergeCell ref="C28:C29"/>
    <mergeCell ref="F27:F29"/>
    <mergeCell ref="B24:B26"/>
    <mergeCell ref="E24:E26"/>
    <mergeCell ref="G24:G26"/>
    <mergeCell ref="B27:B29"/>
    <mergeCell ref="E27:E29"/>
    <mergeCell ref="D97:G97"/>
    <mergeCell ref="D80:G80"/>
    <mergeCell ref="D81:G81"/>
    <mergeCell ref="D82:G82"/>
    <mergeCell ref="D83:G83"/>
    <mergeCell ref="D84:G84"/>
    <mergeCell ref="D85:G85"/>
    <mergeCell ref="D86:G86"/>
    <mergeCell ref="D87:G87"/>
    <mergeCell ref="D88:G88"/>
    <mergeCell ref="D105:G105"/>
    <mergeCell ref="D106:G106"/>
    <mergeCell ref="D89:G89"/>
    <mergeCell ref="D90:G90"/>
    <mergeCell ref="D91:G91"/>
    <mergeCell ref="D92:G92"/>
    <mergeCell ref="D93:G93"/>
    <mergeCell ref="D94:G94"/>
    <mergeCell ref="D95:G95"/>
    <mergeCell ref="D96:G96"/>
    <mergeCell ref="D111:G111"/>
    <mergeCell ref="D112:G112"/>
    <mergeCell ref="D113:G113"/>
    <mergeCell ref="D98:G98"/>
    <mergeCell ref="D99:G99"/>
    <mergeCell ref="D100:G100"/>
    <mergeCell ref="D101:G101"/>
    <mergeCell ref="D102:G102"/>
    <mergeCell ref="D103:G103"/>
    <mergeCell ref="D104:G104"/>
    <mergeCell ref="D107:G107"/>
    <mergeCell ref="D108:G108"/>
    <mergeCell ref="D109:G109"/>
    <mergeCell ref="D110:G110"/>
  </mergeCells>
  <hyperlinks>
    <hyperlink ref="D80" r:id="rId1" display="http://fs-system.jp/fs/pub_taikaigamelist.php?lid=zhbvH1tcO7+6ORhXkNKfrA=="/>
    <hyperlink ref="D81" r:id="rId2" display="http://fs-system.jp/fs/pub_kaijyolist.php?lid=zhbvH1tcO7+6ORhXkNKfrA=="/>
    <hyperlink ref="D82" r:id="rId3" display="http://fs-system.jp/fs/pub_teamlank.php?lid=zhbvH1tcO7+6ORhXkNKfrA=="/>
    <hyperlink ref="D83" r:id="rId4" display="http://fs-system.jp/fs/pub_matrix.php?lid=zhbvH1tcO7+6ORhXkNKfrA=="/>
    <hyperlink ref="D84" r:id="rId5" display="http://fs-system.jp/fs/pub_penaltylist.php?lid=zhbvH1tcO7+6ORhXkNKfrA=="/>
    <hyperlink ref="D85" r:id="rId6" display="http://fs-system.jp/fs/pub_mlt_goalrank.php?lid=zhbvH1tcO7+6ORhXkNKfrA=="/>
    <hyperlink ref="D86" r:id="rId7" display="http://fs-system.jp/fs/pub_fpprank.php?lid=zhbvH1tcO7+6ORhXkNKfrA=="/>
    <hyperlink ref="D89" r:id="rId8" display="http://fs-system.jp/fs/pub_taikaigamelist.php?lid=FLuWDd0daWs="/>
    <hyperlink ref="D90" r:id="rId9" display="http://fs-system.jp/fs/pub_kaijyolist.php?lid=FLuWDd0daWs="/>
    <hyperlink ref="D91" r:id="rId10" display="http://fs-system.jp/fs/pub_teamlank.php?lid=FLuWDd0daWs="/>
    <hyperlink ref="D92" r:id="rId11" display="http://fs-system.jp/fs/pub_matrix.php?lid=FLuWDd0daWs="/>
    <hyperlink ref="D93" r:id="rId12" display="http://fs-system.jp/fs/pub_penaltylist.php?lid=FLuWDd0daWs="/>
    <hyperlink ref="D94" r:id="rId13" display="http://fs-system.jp/fs/pub_mlt_goalrank.php?lid=FLuWDd0daWs="/>
    <hyperlink ref="D95" r:id="rId14" display="http://fs-system.jp/fs/pub_fpprank.php?lid=FLuWDd0daWs="/>
    <hyperlink ref="D98" r:id="rId15" display="http://fs-system.jp/fs/pub_taikaigamelist.php?lid=uxaJWQpBxsk="/>
    <hyperlink ref="D99" r:id="rId16" display="http://fs-system.jp/fs/pub_kaijyolist.php?lid=uxaJWQpBxsk="/>
    <hyperlink ref="D100" r:id="rId17" display="http://fs-system.jp/fs/pub_teamlank.php?lid=uxaJWQpBxsk="/>
    <hyperlink ref="D101" r:id="rId18" display="http://fs-system.jp/fs/pub_matrix.php?lid=uxaJWQpBxsk="/>
    <hyperlink ref="D102" r:id="rId19" display="http://fs-system.jp/fs/pub_penaltylist.php?lid=uxaJWQpBxsk="/>
    <hyperlink ref="D103" r:id="rId20" display="http://fs-system.jp/fs/pub_mlt_goalrank.php?lid=uxaJWQpBxsk="/>
    <hyperlink ref="D104" r:id="rId21" display="http://fs-system.jp/fs/pub_fpprank.php?lid=uxaJWQpBxsk="/>
    <hyperlink ref="D107" r:id="rId22" display="http://fs-system.jp/fs/pub_taikaigamelist.php?lid=sG9eESVG1Bo="/>
    <hyperlink ref="D108" r:id="rId23" display="http://fs-system.jp/fs/pub_kaijyolist.php?lid=sG9eESVG1Bo="/>
    <hyperlink ref="D109" r:id="rId24" display="http://fs-system.jp/fs/pub_teamlank.php?lid=sG9eESVG1Bo="/>
    <hyperlink ref="D110" r:id="rId25" display="http://fs-system.jp/fs/pub_matrix.php?lid=sG9eESVG1Bo="/>
    <hyperlink ref="D111" r:id="rId26" display="http://fs-system.jp/fs/pub_penaltylist.php?lid=sG9eESVG1Bo="/>
    <hyperlink ref="D112" r:id="rId27" display="http://fs-system.jp/fs/pub_mlt_goalrank.php?lid=sG9eESVG1Bo="/>
    <hyperlink ref="D113" r:id="rId28" display="http://fs-system.jp/fs/pub_fpprank.php?lid=sG9eESVG1Bo="/>
  </hyperlinks>
  <printOptions horizontalCentered="1" verticalCentered="1"/>
  <pageMargins left="0.7874015748031497" right="0.7874015748031497" top="0.5905511811023623" bottom="0.5905511811023623" header="0.5118110236220472" footer="0.5118110236220472"/>
  <pageSetup orientation="portrait" paperSize="9" scale="62" r:id="rId2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BR70"/>
  <sheetViews>
    <sheetView view="pageBreakPreview" zoomScale="55" zoomScaleNormal="55" zoomScaleSheetLayoutView="55" zoomScalePageLayoutView="0" workbookViewId="0" topLeftCell="B1">
      <pane xSplit="1" ySplit="4" topLeftCell="C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BU16" sqref="BU16"/>
    </sheetView>
  </sheetViews>
  <sheetFormatPr defaultColWidth="8.59765625" defaultRowHeight="15"/>
  <cols>
    <col min="1" max="1" width="1.59765625" style="0" customWidth="1"/>
    <col min="2" max="2" width="16.59765625" style="0" customWidth="1"/>
    <col min="3" max="42" width="3.59765625" style="0" customWidth="1"/>
    <col min="43" max="45" width="5.59765625" style="0" customWidth="1"/>
    <col min="46" max="46" width="6.59765625" style="0" customWidth="1"/>
    <col min="47" max="48" width="5.59765625" style="0" hidden="1" customWidth="1"/>
    <col min="49" max="50" width="6.59765625" style="0" customWidth="1"/>
    <col min="51" max="51" width="3.5" style="0" customWidth="1"/>
    <col min="52" max="52" width="8.59765625" style="0" customWidth="1"/>
    <col min="53" max="53" width="4.5" style="0" customWidth="1"/>
    <col min="54" max="54" width="8.69921875" style="0" customWidth="1"/>
    <col min="55" max="55" width="4.5" style="0" customWidth="1"/>
    <col min="56" max="59" width="4.59765625" style="0" hidden="1" customWidth="1"/>
    <col min="60" max="60" width="7.09765625" style="0" hidden="1" customWidth="1"/>
    <col min="61" max="61" width="9.59765625" style="0" hidden="1" customWidth="1"/>
    <col min="62" max="62" width="2.59765625" style="0" hidden="1" customWidth="1"/>
    <col min="63" max="71" width="3.59765625" style="0" hidden="1" customWidth="1"/>
  </cols>
  <sheetData>
    <row r="1" spans="2:50" ht="24">
      <c r="B1" s="36" t="s">
        <v>164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</row>
    <row r="3" spans="5:50" ht="18.75" customHeight="1" thickBot="1">
      <c r="E3" s="4" t="s">
        <v>83</v>
      </c>
      <c r="AQ3" s="81">
        <v>1</v>
      </c>
      <c r="AR3" s="58" t="str">
        <f>IF(AQ3=1,"略称表示","日本語略称表示")</f>
        <v>略称表示</v>
      </c>
      <c r="AS3" s="59"/>
      <c r="AT3" s="59"/>
      <c r="AU3" s="59"/>
      <c r="AV3" s="59"/>
      <c r="AW3" s="59"/>
      <c r="AX3" s="59"/>
    </row>
    <row r="4" spans="2:59" ht="29.25" customHeight="1" thickBot="1">
      <c r="B4" s="1"/>
      <c r="C4" s="242" t="str">
        <f>+B6</f>
        <v>ヴォスクオーレ</v>
      </c>
      <c r="D4" s="243"/>
      <c r="E4" s="243"/>
      <c r="F4" s="243"/>
      <c r="G4" s="244"/>
      <c r="H4" s="245" t="str">
        <f>+B10</f>
        <v>volviendo</v>
      </c>
      <c r="I4" s="243"/>
      <c r="J4" s="243"/>
      <c r="K4" s="243"/>
      <c r="L4" s="244"/>
      <c r="M4" s="245" t="str">
        <f>+B14</f>
        <v>D-GUCCI</v>
      </c>
      <c r="N4" s="243"/>
      <c r="O4" s="243"/>
      <c r="P4" s="243"/>
      <c r="Q4" s="244"/>
      <c r="R4" s="245" t="str">
        <f>+B18</f>
        <v>BANFF</v>
      </c>
      <c r="S4" s="243"/>
      <c r="T4" s="243"/>
      <c r="U4" s="243"/>
      <c r="V4" s="244"/>
      <c r="W4" s="245" t="str">
        <f>+B22</f>
        <v>malva</v>
      </c>
      <c r="X4" s="243"/>
      <c r="Y4" s="243"/>
      <c r="Z4" s="243"/>
      <c r="AA4" s="244"/>
      <c r="AB4" s="245" t="str">
        <f>+B26</f>
        <v>Sabedoria</v>
      </c>
      <c r="AC4" s="243"/>
      <c r="AD4" s="243"/>
      <c r="AE4" s="243"/>
      <c r="AF4" s="244"/>
      <c r="AG4" s="245" t="str">
        <f>+B30</f>
        <v>かちかち山</v>
      </c>
      <c r="AH4" s="243"/>
      <c r="AI4" s="243"/>
      <c r="AJ4" s="243"/>
      <c r="AK4" s="244"/>
      <c r="AL4" s="245" t="str">
        <f>+B34</f>
        <v>CROSS</v>
      </c>
      <c r="AM4" s="243"/>
      <c r="AN4" s="243"/>
      <c r="AO4" s="243"/>
      <c r="AP4" s="243"/>
      <c r="AQ4" s="44" t="s">
        <v>75</v>
      </c>
      <c r="AR4" s="5" t="s">
        <v>76</v>
      </c>
      <c r="AS4" s="5" t="s">
        <v>77</v>
      </c>
      <c r="AT4" s="6" t="s">
        <v>78</v>
      </c>
      <c r="AU4" s="7" t="s">
        <v>79</v>
      </c>
      <c r="AV4" s="8" t="s">
        <v>80</v>
      </c>
      <c r="AW4" s="9" t="s">
        <v>81</v>
      </c>
      <c r="AX4" s="10" t="s">
        <v>82</v>
      </c>
      <c r="AZ4" s="54" t="s">
        <v>109</v>
      </c>
      <c r="BA4" s="60"/>
      <c r="BB4" s="82" t="s">
        <v>130</v>
      </c>
      <c r="BC4" s="60"/>
      <c r="BD4" s="83" t="s">
        <v>131</v>
      </c>
      <c r="BE4" s="83"/>
      <c r="BF4" s="83" t="s">
        <v>132</v>
      </c>
      <c r="BG4" s="83"/>
    </row>
    <row r="5" spans="2:70" ht="24" customHeight="1" thickBot="1">
      <c r="B5" s="68" t="str">
        <f>+AX63</f>
        <v>Ｂ</v>
      </c>
      <c r="C5" s="249"/>
      <c r="D5" s="250"/>
      <c r="E5" s="250"/>
      <c r="F5" s="250"/>
      <c r="G5" s="251"/>
      <c r="H5" s="200">
        <f>VLOOKUP("前"&amp;$B5&amp;J$39,'１部対戦表'!$S$1:$V$143,4,FALSE)</f>
        <v>40364</v>
      </c>
      <c r="I5" s="201"/>
      <c r="J5" s="201"/>
      <c r="K5" s="201"/>
      <c r="L5" s="202"/>
      <c r="M5" s="200">
        <f>VLOOKUP("前"&amp;$B5&amp;O$39,'１部対戦表'!$S$1:$V$143,4,FALSE)</f>
        <v>40315</v>
      </c>
      <c r="N5" s="201"/>
      <c r="O5" s="201"/>
      <c r="P5" s="201"/>
      <c r="Q5" s="202"/>
      <c r="R5" s="200">
        <f>VLOOKUP("前"&amp;$B5&amp;T$39,'１部対戦表'!$S$1:$V$143,4,FALSE)</f>
        <v>40399</v>
      </c>
      <c r="S5" s="201"/>
      <c r="T5" s="201"/>
      <c r="U5" s="201"/>
      <c r="V5" s="202"/>
      <c r="W5" s="200">
        <f>VLOOKUP("前"&amp;$B5&amp;Y$39,'１部対戦表'!$S$1:$V$143,4,FALSE)</f>
        <v>40379</v>
      </c>
      <c r="X5" s="201"/>
      <c r="Y5" s="201"/>
      <c r="Z5" s="201"/>
      <c r="AA5" s="202"/>
      <c r="AB5" s="200">
        <f>VLOOKUP("前"&amp;$B5&amp;AD$39,'１部対戦表'!$S$1:$V$143,4,FALSE)</f>
        <v>40350</v>
      </c>
      <c r="AC5" s="201"/>
      <c r="AD5" s="201"/>
      <c r="AE5" s="201"/>
      <c r="AF5" s="202"/>
      <c r="AG5" s="200">
        <f>VLOOKUP("前"&amp;$B5&amp;AI$39,'１部対戦表'!$S$1:$V$143,4,FALSE)</f>
        <v>40392</v>
      </c>
      <c r="AH5" s="201"/>
      <c r="AI5" s="201"/>
      <c r="AJ5" s="201"/>
      <c r="AK5" s="202"/>
      <c r="AL5" s="200">
        <f>VLOOKUP("前"&amp;$B5&amp;AN$39,'１部対戦表'!$S$1:$V$143,4,FALSE)</f>
        <v>40343</v>
      </c>
      <c r="AM5" s="201"/>
      <c r="AN5" s="201"/>
      <c r="AO5" s="201"/>
      <c r="AP5" s="201"/>
      <c r="AQ5" s="223">
        <f>IF(AND($BD6=0,$BE6=0,$BF6=0),"",BD6)</f>
        <v>6</v>
      </c>
      <c r="AR5" s="214">
        <f>IF(AND($BD6=0,$BE6=0,$BF6=0),"",BE6)</f>
        <v>1</v>
      </c>
      <c r="AS5" s="214">
        <f>IF(AND($BD6=0,$BE6=0,$BF6=0),"",BF6)</f>
        <v>0</v>
      </c>
      <c r="AT5" s="217">
        <f>IF(AND($BD6=0,$BE6=0,$BF6=0),"",BG6+AZ6)</f>
        <v>19</v>
      </c>
      <c r="AU5" s="262">
        <f>IF(AND($BD6=0,$BE6=0,$BF6=0),"",BD8)</f>
        <v>36</v>
      </c>
      <c r="AV5" s="262">
        <f>IF(AND($BD6=0,$BE6=0,$BF6=0),"",BE8)</f>
        <v>10</v>
      </c>
      <c r="AW5" s="259">
        <f>IF(AND($BD6=0,$BE6=0,$BF6=0),"",BF8)</f>
        <v>26</v>
      </c>
      <c r="AX5" s="226">
        <f>IF(AND($BD6=0,$BE6=0,$BF6=0),"",RANK(BI7,BI$7:BI$35))</f>
        <v>1</v>
      </c>
      <c r="BD5" s="67" t="s">
        <v>92</v>
      </c>
      <c r="BE5" s="67" t="s">
        <v>93</v>
      </c>
      <c r="BF5" s="67" t="s">
        <v>94</v>
      </c>
      <c r="BG5" s="67" t="s">
        <v>95</v>
      </c>
      <c r="BH5" s="30"/>
      <c r="BI5" s="30"/>
      <c r="BJ5" s="30"/>
      <c r="BK5" s="62">
        <f>IF(D6&lt;&gt;"",D6,0)</f>
        <v>0</v>
      </c>
      <c r="BL5" s="62">
        <f>IF(I6&lt;&gt;"",I6,0)</f>
        <v>9</v>
      </c>
      <c r="BM5" s="62">
        <f>IF(N6&lt;&gt;"",N6,0)</f>
        <v>3</v>
      </c>
      <c r="BN5" s="62">
        <f>IF(S6&lt;&gt;"",S6,0)</f>
        <v>7</v>
      </c>
      <c r="BO5" s="62">
        <f>IF(X6&lt;&gt;"",X6,0)</f>
        <v>5</v>
      </c>
      <c r="BP5" s="62">
        <f>IF(AC6&lt;&gt;"",AC6,0)</f>
        <v>5</v>
      </c>
      <c r="BQ5" s="62">
        <f>IF(AH6&lt;&gt;"",AH6,0)</f>
        <v>2</v>
      </c>
      <c r="BR5" s="62">
        <f>IF(AM6&lt;&gt;"",AM6,0)</f>
        <v>5</v>
      </c>
    </row>
    <row r="6" spans="2:70" ht="24" customHeight="1">
      <c r="B6" s="231" t="str">
        <f>VLOOKUP(B5,'参加チーム'!$B$5:$G$73,IF($AQ$3=1,4,5),FALSE)</f>
        <v>ヴォスクオーレ</v>
      </c>
      <c r="C6" s="252"/>
      <c r="D6" s="237"/>
      <c r="E6" s="237"/>
      <c r="F6" s="237"/>
      <c r="G6" s="238"/>
      <c r="H6" s="41" t="s">
        <v>84</v>
      </c>
      <c r="I6" s="42">
        <f>VLOOKUP("前"&amp;$B5&amp;J$39,'１部対戦表'!$S$1:$V$143,2,FALSE)</f>
        <v>9</v>
      </c>
      <c r="J6" s="42" t="str">
        <f>IF(I6&lt;&gt;"",IF(I6&gt;K6,"○",IF(I6&lt;K6,"●","△")),"-")</f>
        <v>○</v>
      </c>
      <c r="K6" s="42">
        <f>VLOOKUP("前"&amp;$B5&amp;J$39,'１部対戦表'!$S$1:$V$143,3,FALSE)</f>
        <v>2</v>
      </c>
      <c r="L6" s="43" t="s">
        <v>85</v>
      </c>
      <c r="M6" s="41" t="s">
        <v>84</v>
      </c>
      <c r="N6" s="42">
        <f>VLOOKUP("前"&amp;$B5&amp;O$39,'１部対戦表'!$S$1:$V$143,2,FALSE)</f>
        <v>3</v>
      </c>
      <c r="O6" s="42" t="str">
        <f>IF(N6&lt;&gt;"",IF(N6&gt;P6,"○",IF(N6&lt;P6,"●","△")),"-")</f>
        <v>○</v>
      </c>
      <c r="P6" s="42">
        <f>VLOOKUP("前"&amp;$B5&amp;O$39,'１部対戦表'!$S$1:$V$143,3,FALSE)</f>
        <v>2</v>
      </c>
      <c r="Q6" s="43" t="s">
        <v>85</v>
      </c>
      <c r="R6" s="41" t="s">
        <v>84</v>
      </c>
      <c r="S6" s="42">
        <f>VLOOKUP("前"&amp;$B5&amp;T$39,'１部対戦表'!$S$1:$V$143,2,FALSE)</f>
        <v>7</v>
      </c>
      <c r="T6" s="42" t="str">
        <f>IF(S6&lt;&gt;"",IF(S6&gt;U6,"○",IF(S6&lt;U6,"●","△")),"-")</f>
        <v>○</v>
      </c>
      <c r="U6" s="42">
        <f>VLOOKUP("前"&amp;$B5&amp;T$39,'１部対戦表'!$S$1:$V$143,3,FALSE)</f>
        <v>0</v>
      </c>
      <c r="V6" s="43" t="s">
        <v>85</v>
      </c>
      <c r="W6" s="41" t="s">
        <v>84</v>
      </c>
      <c r="X6" s="42">
        <f>VLOOKUP("前"&amp;$B5&amp;Y$39,'１部対戦表'!$S$1:$V$143,2,FALSE)</f>
        <v>5</v>
      </c>
      <c r="Y6" s="42" t="str">
        <f>IF(X6&lt;&gt;"",IF(X6&gt;Z6,"○",IF(X6&lt;Z6,"●","△")),"-")</f>
        <v>○</v>
      </c>
      <c r="Z6" s="42">
        <f>VLOOKUP("前"&amp;$B5&amp;Y$39,'１部対戦表'!$S$1:$V$143,3,FALSE)</f>
        <v>2</v>
      </c>
      <c r="AA6" s="43" t="s">
        <v>85</v>
      </c>
      <c r="AB6" s="41" t="s">
        <v>84</v>
      </c>
      <c r="AC6" s="42">
        <f>VLOOKUP("前"&amp;$B5&amp;AD$39,'１部対戦表'!$S$1:$V$143,2,FALSE)</f>
        <v>5</v>
      </c>
      <c r="AD6" s="42" t="str">
        <f>IF(AC6&lt;&gt;"",IF(AC6&gt;AE6,"○",IF(AC6&lt;AE6,"●","△")),"-")</f>
        <v>○</v>
      </c>
      <c r="AE6" s="42">
        <f>VLOOKUP("前"&amp;$B5&amp;AD$39,'１部対戦表'!$S$1:$V$143,3,FALSE)</f>
        <v>1</v>
      </c>
      <c r="AF6" s="43" t="s">
        <v>85</v>
      </c>
      <c r="AG6" s="41" t="s">
        <v>84</v>
      </c>
      <c r="AH6" s="42">
        <f>VLOOKUP("前"&amp;$B5&amp;AI$39,'１部対戦表'!$S$1:$V$143,2,FALSE)</f>
        <v>2</v>
      </c>
      <c r="AI6" s="42" t="str">
        <f>IF(AH6&lt;&gt;"",IF(AH6&gt;AJ6,"○",IF(AH6&lt;AJ6,"●","△")),"-")</f>
        <v>△</v>
      </c>
      <c r="AJ6" s="42">
        <f>VLOOKUP("前"&amp;$B5&amp;AI$39,'１部対戦表'!$S$1:$V$143,3,FALSE)</f>
        <v>2</v>
      </c>
      <c r="AK6" s="43" t="s">
        <v>85</v>
      </c>
      <c r="AL6" s="41" t="s">
        <v>84</v>
      </c>
      <c r="AM6" s="42">
        <f>VLOOKUP("前"&amp;$B5&amp;AN$39,'１部対戦表'!$S$1:$V$143,2,FALSE)</f>
        <v>5</v>
      </c>
      <c r="AN6" s="42" t="str">
        <f>IF(AM6&lt;&gt;"",IF(AM6&gt;AO6,"○",IF(AM6&lt;AO6,"●","△")),"-")</f>
        <v>○</v>
      </c>
      <c r="AO6" s="42">
        <f>VLOOKUP("前"&amp;$B5&amp;AN$39,'１部対戦表'!$S$1:$V$143,3,FALSE)</f>
        <v>1</v>
      </c>
      <c r="AP6" s="42" t="s">
        <v>85</v>
      </c>
      <c r="AQ6" s="223"/>
      <c r="AR6" s="214"/>
      <c r="AS6" s="214"/>
      <c r="AT6" s="217"/>
      <c r="AU6" s="212"/>
      <c r="AV6" s="212"/>
      <c r="AW6" s="213"/>
      <c r="AX6" s="227"/>
      <c r="AZ6" s="263"/>
      <c r="BA6" s="61"/>
      <c r="BB6" s="274"/>
      <c r="BC6" s="61"/>
      <c r="BD6" s="32">
        <f>COUNTIF($C5:$AP8,"○")</f>
        <v>6</v>
      </c>
      <c r="BE6" s="32">
        <f>COUNTIF($C5:$AP8,"△")</f>
        <v>1</v>
      </c>
      <c r="BF6" s="32">
        <f>COUNTIF($C5:$AP8,"●")</f>
        <v>0</v>
      </c>
      <c r="BG6" s="67">
        <f>BD6*3+BE6</f>
        <v>19</v>
      </c>
      <c r="BH6" s="30"/>
      <c r="BI6" s="30"/>
      <c r="BJ6" s="30"/>
      <c r="BK6" s="63">
        <f>IF(F6&lt;&gt;"",F6,0)</f>
        <v>0</v>
      </c>
      <c r="BL6" s="63">
        <f>IF(K6&lt;&gt;"",K6,0)</f>
        <v>2</v>
      </c>
      <c r="BM6" s="63">
        <f>IF(P6&lt;&gt;"",P6,0)</f>
        <v>2</v>
      </c>
      <c r="BN6" s="63">
        <f>IF(U6&lt;&gt;"",U6,0)</f>
        <v>0</v>
      </c>
      <c r="BO6" s="63">
        <f>IF(Z6&lt;&gt;"",Z6,0)</f>
        <v>2</v>
      </c>
      <c r="BP6" s="63">
        <f>IF(AE6&lt;&gt;"",AE6,0)</f>
        <v>1</v>
      </c>
      <c r="BQ6" s="63">
        <f>IF(AJ6&lt;&gt;"",AJ6,0)</f>
        <v>2</v>
      </c>
      <c r="BR6" s="63">
        <f>IF(AO6&lt;&gt;"",AO6,0)</f>
        <v>1</v>
      </c>
    </row>
    <row r="7" spans="2:70" ht="24" customHeight="1" thickBot="1">
      <c r="B7" s="231"/>
      <c r="C7" s="252"/>
      <c r="D7" s="237"/>
      <c r="E7" s="237"/>
      <c r="F7" s="237"/>
      <c r="G7" s="238"/>
      <c r="H7" s="246">
        <f>VLOOKUP("後"&amp;$B5&amp;J$39,'１部対戦表'!$S$1:$V$143,4,FALSE)</f>
        <v>40532</v>
      </c>
      <c r="I7" s="247"/>
      <c r="J7" s="247"/>
      <c r="K7" s="247"/>
      <c r="L7" s="248"/>
      <c r="M7" s="246">
        <f>VLOOKUP("後"&amp;$B5&amp;O$39,'１部対戦表'!$S$1:$V$143,4,FALSE)</f>
        <v>40511</v>
      </c>
      <c r="N7" s="247"/>
      <c r="O7" s="247"/>
      <c r="P7" s="247"/>
      <c r="Q7" s="248"/>
      <c r="R7" s="246">
        <f>VLOOKUP("後"&amp;$B5&amp;T$39,'１部対戦表'!$S$1:$V$143,4,FALSE)</f>
        <v>40469</v>
      </c>
      <c r="S7" s="247"/>
      <c r="T7" s="247"/>
      <c r="U7" s="247"/>
      <c r="V7" s="248"/>
      <c r="W7" s="246">
        <f>VLOOKUP("後"&amp;$B5&amp;Y$39,'１部対戦表'!$S$1:$V$143,4,FALSE)</f>
        <v>40462</v>
      </c>
      <c r="X7" s="247"/>
      <c r="Y7" s="247"/>
      <c r="Z7" s="247"/>
      <c r="AA7" s="248"/>
      <c r="AB7" s="246">
        <f>VLOOKUP("後"&amp;$B5&amp;AD$39,'１部対戦表'!$S$1:$V$143,4,FALSE)</f>
        <v>40455</v>
      </c>
      <c r="AC7" s="247"/>
      <c r="AD7" s="247"/>
      <c r="AE7" s="247"/>
      <c r="AF7" s="248"/>
      <c r="AG7" s="246">
        <f>VLOOKUP("後"&amp;$B5&amp;AI$39,'１部対戦表'!$S$1:$V$143,4,FALSE)</f>
        <v>40441</v>
      </c>
      <c r="AH7" s="247"/>
      <c r="AI7" s="247"/>
      <c r="AJ7" s="247"/>
      <c r="AK7" s="248"/>
      <c r="AL7" s="246">
        <f>VLOOKUP("後"&amp;$B5&amp;AN$39,'１部対戦表'!$S$1:$V$143,4,FALSE)</f>
        <v>40427</v>
      </c>
      <c r="AM7" s="247"/>
      <c r="AN7" s="247"/>
      <c r="AO7" s="247"/>
      <c r="AP7" s="247"/>
      <c r="AQ7" s="223"/>
      <c r="AR7" s="214"/>
      <c r="AS7" s="214"/>
      <c r="AT7" s="217"/>
      <c r="AU7" s="212"/>
      <c r="AV7" s="212"/>
      <c r="AW7" s="213"/>
      <c r="AX7" s="227"/>
      <c r="AZ7" s="264"/>
      <c r="BA7" s="61"/>
      <c r="BB7" s="275"/>
      <c r="BC7" s="61"/>
      <c r="BD7" s="75" t="s">
        <v>96</v>
      </c>
      <c r="BE7" s="75" t="s">
        <v>97</v>
      </c>
      <c r="BF7" s="75" t="s">
        <v>98</v>
      </c>
      <c r="BG7" s="31"/>
      <c r="BH7" s="31" t="s">
        <v>104</v>
      </c>
      <c r="BI7" s="65">
        <f>IF(AND(BD6=0,BE6=0,BF6=0),0,AT5*1000+AW5+IF(BB6=$BD$4,100,0)+IF(BB6=$BF$4,-100,0))</f>
        <v>19026</v>
      </c>
      <c r="BJ7" s="66"/>
      <c r="BK7" s="63">
        <f>IF(D8&lt;&gt;"",D8,0)</f>
        <v>0</v>
      </c>
      <c r="BL7" s="63">
        <f>IF(I8&lt;&gt;"",I8,0)</f>
        <v>0</v>
      </c>
      <c r="BM7" s="63">
        <f>IF(N8&lt;&gt;"",N8,0)</f>
        <v>0</v>
      </c>
      <c r="BN7" s="63">
        <f>IF(S8&lt;&gt;"",S8,0)</f>
        <v>0</v>
      </c>
      <c r="BO7" s="63">
        <f>IF(X8&lt;&gt;"",X8,0)</f>
        <v>0</v>
      </c>
      <c r="BP7" s="63">
        <f>IF(AC8&lt;&gt;"",AC8,0)</f>
        <v>0</v>
      </c>
      <c r="BQ7" s="63">
        <f>IF(AH8&lt;&gt;"",AH8,0)</f>
        <v>0</v>
      </c>
      <c r="BR7" s="63">
        <f>IF(AM8&lt;&gt;"",AM8,0)</f>
        <v>0</v>
      </c>
    </row>
    <row r="8" spans="2:70" ht="24" customHeight="1">
      <c r="B8" s="232"/>
      <c r="C8" s="253"/>
      <c r="D8" s="240"/>
      <c r="E8" s="240"/>
      <c r="F8" s="240"/>
      <c r="G8" s="241"/>
      <c r="H8" s="38" t="s">
        <v>84</v>
      </c>
      <c r="I8" s="39">
        <f>VLOOKUP("後"&amp;$B5&amp;J$39,'１部対戦表'!$S$1:$V$143,2,FALSE)</f>
      </c>
      <c r="J8" s="39">
        <f>IF(I8&lt;&gt;"",IF(I8&gt;K8,"○",IF(I8&lt;K8,"●","△")),"")</f>
      </c>
      <c r="K8" s="39">
        <f>VLOOKUP("後"&amp;$B5&amp;J$39,'１部対戦表'!$S$1:$V$143,3,FALSE)</f>
      </c>
      <c r="L8" s="40" t="s">
        <v>85</v>
      </c>
      <c r="M8" s="38" t="s">
        <v>84</v>
      </c>
      <c r="N8" s="39">
        <f>VLOOKUP("後"&amp;$B5&amp;O$39,'１部対戦表'!$S$1:$V$143,2,FALSE)</f>
      </c>
      <c r="O8" s="39">
        <f>IF(N8&lt;&gt;"",IF(N8&gt;P8,"○",IF(N8&lt;P8,"●","△")),"")</f>
      </c>
      <c r="P8" s="39">
        <f>VLOOKUP("後"&amp;$B5&amp;O$39,'１部対戦表'!$S$1:$V$143,3,FALSE)</f>
      </c>
      <c r="Q8" s="40" t="s">
        <v>85</v>
      </c>
      <c r="R8" s="38" t="s">
        <v>84</v>
      </c>
      <c r="S8" s="39">
        <f>VLOOKUP("後"&amp;$B5&amp;T$39,'１部対戦表'!$S$1:$V$143,2,FALSE)</f>
      </c>
      <c r="T8" s="39">
        <f>IF(S8&lt;&gt;"",IF(S8&gt;U8,"○",IF(S8&lt;U8,"●","△")),"")</f>
      </c>
      <c r="U8" s="39">
        <f>VLOOKUP("後"&amp;$B5&amp;T$39,'１部対戦表'!$S$1:$V$143,3,FALSE)</f>
      </c>
      <c r="V8" s="40" t="s">
        <v>85</v>
      </c>
      <c r="W8" s="38" t="s">
        <v>84</v>
      </c>
      <c r="X8" s="39">
        <f>VLOOKUP("後"&amp;$B5&amp;Y$39,'１部対戦表'!$S$1:$V$143,2,FALSE)</f>
      </c>
      <c r="Y8" s="39">
        <f>IF(X8&lt;&gt;"",IF(X8&gt;Z8,"○",IF(X8&lt;Z8,"●","△")),"")</f>
      </c>
      <c r="Z8" s="39">
        <f>VLOOKUP("後"&amp;$B5&amp;Y$39,'１部対戦表'!$S$1:$V$143,3,FALSE)</f>
      </c>
      <c r="AA8" s="40" t="s">
        <v>85</v>
      </c>
      <c r="AB8" s="38" t="s">
        <v>84</v>
      </c>
      <c r="AC8" s="39">
        <f>VLOOKUP("後"&amp;$B5&amp;AD$39,'１部対戦表'!$S$1:$V$143,2,FALSE)</f>
      </c>
      <c r="AD8" s="39">
        <f>IF(AC8&lt;&gt;"",IF(AC8&gt;AE8,"○",IF(AC8&lt;AE8,"●","△")),"")</f>
      </c>
      <c r="AE8" s="39">
        <f>VLOOKUP("後"&amp;$B5&amp;AD$39,'１部対戦表'!$S$1:$V$143,3,FALSE)</f>
      </c>
      <c r="AF8" s="40" t="s">
        <v>85</v>
      </c>
      <c r="AG8" s="38" t="s">
        <v>84</v>
      </c>
      <c r="AH8" s="39">
        <f>VLOOKUP("後"&amp;$B5&amp;AI$39,'１部対戦表'!$S$1:$V$143,2,FALSE)</f>
      </c>
      <c r="AI8" s="39">
        <f>IF(AH8&lt;&gt;"",IF(AH8&gt;AJ8,"○",IF(AH8&lt;AJ8,"●","△")),"")</f>
      </c>
      <c r="AJ8" s="39">
        <f>VLOOKUP("後"&amp;$B5&amp;AI$39,'１部対戦表'!$S$1:$V$143,3,FALSE)</f>
      </c>
      <c r="AK8" s="40" t="s">
        <v>85</v>
      </c>
      <c r="AL8" s="38" t="s">
        <v>84</v>
      </c>
      <c r="AM8" s="39">
        <f>VLOOKUP("後"&amp;$B5&amp;AN$39,'１部対戦表'!$S$1:$V$143,2,FALSE)</f>
      </c>
      <c r="AN8" s="39">
        <f>IF(AM8&lt;&gt;"",IF(AM8&gt;AO8,"○",IF(AM8&lt;AO8,"●","△")),"")</f>
      </c>
      <c r="AO8" s="39">
        <f>VLOOKUP("後"&amp;$B5&amp;AN$39,'１部対戦表'!$S$1:$V$143,3,FALSE)</f>
      </c>
      <c r="AP8" s="39" t="s">
        <v>85</v>
      </c>
      <c r="AQ8" s="224"/>
      <c r="AR8" s="225"/>
      <c r="AS8" s="225"/>
      <c r="AT8" s="229"/>
      <c r="AU8" s="212"/>
      <c r="AV8" s="212"/>
      <c r="AW8" s="213"/>
      <c r="AX8" s="228"/>
      <c r="BD8" s="75">
        <f>SUM(BK5:BR5)+SUM(BK7:BR7)</f>
        <v>36</v>
      </c>
      <c r="BE8" s="75">
        <f>SUM(BK6:BR6)+SUM(BK8:BR8)</f>
        <v>10</v>
      </c>
      <c r="BF8" s="57">
        <f>+BD8-BE8</f>
        <v>26</v>
      </c>
      <c r="BG8" s="31"/>
      <c r="BH8" s="31"/>
      <c r="BI8" s="31"/>
      <c r="BJ8" s="31"/>
      <c r="BK8" s="64">
        <f>IF(F8&lt;&gt;"",F8,0)</f>
        <v>0</v>
      </c>
      <c r="BL8" s="64">
        <f>IF(K8&lt;&gt;"",K8,0)</f>
        <v>0</v>
      </c>
      <c r="BM8" s="64">
        <f>IF(P8&lt;&gt;"",P8,0)</f>
        <v>0</v>
      </c>
      <c r="BN8" s="64">
        <f>IF(U8&lt;&gt;"",U8,0)</f>
        <v>0</v>
      </c>
      <c r="BO8" s="64">
        <f>IF(Z8&lt;&gt;"",Z8,0)</f>
        <v>0</v>
      </c>
      <c r="BP8" s="64">
        <f>IF(AE8&lt;&gt;"",AE8,0)</f>
        <v>0</v>
      </c>
      <c r="BQ8" s="64">
        <f>IF(AJ8&lt;&gt;"",AJ8,0)</f>
        <v>0</v>
      </c>
      <c r="BR8" s="64">
        <f>IF(AO8&lt;&gt;"",AO8,0)</f>
        <v>0</v>
      </c>
    </row>
    <row r="9" spans="2:70" ht="24" customHeight="1" thickBot="1">
      <c r="B9" s="68" t="str">
        <f>+AX64</f>
        <v>Ｆ</v>
      </c>
      <c r="C9" s="200">
        <f>VLOOKUP("前"&amp;$B9&amp;E$39,'１部対戦表'!$S$1:$V$143,4,FALSE)</f>
        <v>40364</v>
      </c>
      <c r="D9" s="201"/>
      <c r="E9" s="201"/>
      <c r="F9" s="201"/>
      <c r="G9" s="202"/>
      <c r="H9" s="233"/>
      <c r="I9" s="234"/>
      <c r="J9" s="234"/>
      <c r="K9" s="234"/>
      <c r="L9" s="235"/>
      <c r="M9" s="200">
        <f>VLOOKUP("前"&amp;$B9&amp;O$39,'１部対戦表'!$S$1:$V$143,4,FALSE)</f>
        <v>40379</v>
      </c>
      <c r="N9" s="201"/>
      <c r="O9" s="201"/>
      <c r="P9" s="201"/>
      <c r="Q9" s="202"/>
      <c r="R9" s="200">
        <f>VLOOKUP("前"&amp;$B9&amp;T$39,'１部対戦表'!$S$1:$V$143,4,FALSE)</f>
        <v>40350</v>
      </c>
      <c r="S9" s="201"/>
      <c r="T9" s="201"/>
      <c r="U9" s="201"/>
      <c r="V9" s="202"/>
      <c r="W9" s="200">
        <f>VLOOKUP("前"&amp;$B9&amp;Y$39,'１部対戦表'!$S$1:$V$143,4,FALSE)</f>
        <v>40343</v>
      </c>
      <c r="X9" s="201"/>
      <c r="Y9" s="201"/>
      <c r="Z9" s="201"/>
      <c r="AA9" s="202"/>
      <c r="AB9" s="200">
        <f>VLOOKUP("前"&amp;$B9&amp;AD$39,'１部対戦表'!$S$1:$V$143,4,FALSE)</f>
        <v>40399</v>
      </c>
      <c r="AC9" s="201"/>
      <c r="AD9" s="201"/>
      <c r="AE9" s="201"/>
      <c r="AF9" s="202"/>
      <c r="AG9" s="200">
        <f>VLOOKUP("前"&amp;$B9&amp;AI$39,'１部対戦表'!$S$1:$V$143,4,FALSE)</f>
        <v>40315</v>
      </c>
      <c r="AH9" s="201"/>
      <c r="AI9" s="201"/>
      <c r="AJ9" s="201"/>
      <c r="AK9" s="202"/>
      <c r="AL9" s="200">
        <f>VLOOKUP("前"&amp;$B9&amp;AN$39,'１部対戦表'!$S$1:$V$143,4,FALSE)</f>
        <v>40392</v>
      </c>
      <c r="AM9" s="201"/>
      <c r="AN9" s="201"/>
      <c r="AO9" s="201"/>
      <c r="AP9" s="202"/>
      <c r="AQ9" s="223">
        <f>IF(AND($BD10=0,$BE10=0,$BF10=0),"",BD10)</f>
        <v>5</v>
      </c>
      <c r="AR9" s="214">
        <f>IF(AND($BD10=0,$BE10=0,$BF10=0),"",BE10)</f>
        <v>0</v>
      </c>
      <c r="AS9" s="214">
        <f>IF(AND($BD10=0,$BE10=0,$BF10=0),"",BF10)</f>
        <v>2</v>
      </c>
      <c r="AT9" s="216">
        <f>IF(AND($BD10=0,$BE10=0,$BF10=0),"",BG10+AZ10)</f>
        <v>15</v>
      </c>
      <c r="AU9" s="260">
        <f>IF(AND($BD10=0,$BE10=0,$BF10=0),"",BD12)</f>
        <v>29</v>
      </c>
      <c r="AV9" s="260">
        <f>IF(AND($BD10=0,$BE10=0,$BF10=0),"",BE12)</f>
        <v>24</v>
      </c>
      <c r="AW9" s="257">
        <f>IF(AND($BD10=0,$BE10=0,$BF10=0),"",BF12)</f>
        <v>5</v>
      </c>
      <c r="AX9" s="226">
        <f>IF(AND($BD10=0,$BE10=0,$BF10=0),"",RANK(BI11,BI$7:BI$35))</f>
        <v>2</v>
      </c>
      <c r="BD9" s="67" t="s">
        <v>92</v>
      </c>
      <c r="BE9" s="67" t="s">
        <v>93</v>
      </c>
      <c r="BF9" s="67" t="s">
        <v>94</v>
      </c>
      <c r="BG9" s="67" t="s">
        <v>95</v>
      </c>
      <c r="BH9" s="30"/>
      <c r="BI9" s="30"/>
      <c r="BJ9" s="30"/>
      <c r="BK9" s="62">
        <f>IF(D10&lt;&gt;"",D10,0)</f>
        <v>2</v>
      </c>
      <c r="BL9" s="62">
        <f>IF(I10&lt;&gt;"",I10,0)</f>
        <v>0</v>
      </c>
      <c r="BM9" s="62">
        <f>IF(N10&lt;&gt;"",N10,0)</f>
        <v>3</v>
      </c>
      <c r="BN9" s="62">
        <f>IF(S10&lt;&gt;"",S10,0)</f>
        <v>4</v>
      </c>
      <c r="BO9" s="62">
        <f>IF(X10&lt;&gt;"",X10,0)</f>
        <v>6</v>
      </c>
      <c r="BP9" s="62">
        <f>IF(AC10&lt;&gt;"",AC10,0)</f>
        <v>1</v>
      </c>
      <c r="BQ9" s="62">
        <f>IF(AH10&lt;&gt;"",AH10,0)</f>
        <v>6</v>
      </c>
      <c r="BR9" s="62">
        <f>IF(AM10&lt;&gt;"",AM10,0)</f>
        <v>7</v>
      </c>
    </row>
    <row r="10" spans="2:70" ht="24" customHeight="1">
      <c r="B10" s="231" t="str">
        <f>VLOOKUP(B9,'参加チーム'!$B$5:$G$73,IF($AQ$3=1,4,5),FALSE)</f>
        <v>volviendo</v>
      </c>
      <c r="C10" s="41" t="s">
        <v>84</v>
      </c>
      <c r="D10" s="42">
        <f>VLOOKUP("前"&amp;$B9&amp;E$39,'１部対戦表'!$S$1:$V$143,2,FALSE)</f>
        <v>2</v>
      </c>
      <c r="E10" s="42" t="str">
        <f>IF(D10&lt;&gt;"",IF(D10&gt;F10,"○",IF(D10&lt;F10,"●","△")),"-")</f>
        <v>●</v>
      </c>
      <c r="F10" s="42">
        <f>VLOOKUP("前"&amp;$B9&amp;E$39,'１部対戦表'!$S$1:$V$143,3,FALSE)</f>
        <v>9</v>
      </c>
      <c r="G10" s="43" t="s">
        <v>85</v>
      </c>
      <c r="H10" s="236"/>
      <c r="I10" s="237"/>
      <c r="J10" s="237"/>
      <c r="K10" s="237"/>
      <c r="L10" s="238"/>
      <c r="M10" s="41" t="s">
        <v>84</v>
      </c>
      <c r="N10" s="42">
        <f>VLOOKUP("前"&amp;$B9&amp;O$39,'１部対戦表'!$S$1:$V$143,2,FALSE)</f>
        <v>3</v>
      </c>
      <c r="O10" s="42" t="str">
        <f>IF(N10&lt;&gt;"",IF(N10&gt;P10,"○",IF(N10&lt;P10,"●","△")),"-")</f>
        <v>○</v>
      </c>
      <c r="P10" s="42">
        <f>VLOOKUP("前"&amp;$B9&amp;O$39,'１部対戦表'!$S$1:$V$143,3,FALSE)</f>
        <v>1</v>
      </c>
      <c r="Q10" s="43" t="s">
        <v>85</v>
      </c>
      <c r="R10" s="41" t="s">
        <v>84</v>
      </c>
      <c r="S10" s="42">
        <f>VLOOKUP("前"&amp;$B9&amp;T$39,'１部対戦表'!$S$1:$V$143,2,FALSE)</f>
        <v>4</v>
      </c>
      <c r="T10" s="42" t="str">
        <f>IF(S10&lt;&gt;"",IF(S10&gt;U10,"○",IF(S10&lt;U10,"●","△")),"-")</f>
        <v>○</v>
      </c>
      <c r="U10" s="42">
        <f>VLOOKUP("前"&amp;$B9&amp;T$39,'１部対戦表'!$S$1:$V$143,3,FALSE)</f>
        <v>3</v>
      </c>
      <c r="V10" s="43" t="s">
        <v>85</v>
      </c>
      <c r="W10" s="41" t="s">
        <v>84</v>
      </c>
      <c r="X10" s="42">
        <f>VLOOKUP("前"&amp;$B9&amp;Y$39,'１部対戦表'!$S$1:$V$143,2,FALSE)</f>
        <v>6</v>
      </c>
      <c r="Y10" s="42" t="str">
        <f>IF(X10&lt;&gt;"",IF(X10&gt;Z10,"○",IF(X10&lt;Z10,"●","△")),"-")</f>
        <v>○</v>
      </c>
      <c r="Z10" s="42">
        <f>VLOOKUP("前"&amp;$B9&amp;Y$39,'１部対戦表'!$S$1:$V$143,3,FALSE)</f>
        <v>2</v>
      </c>
      <c r="AA10" s="43" t="s">
        <v>85</v>
      </c>
      <c r="AB10" s="41" t="s">
        <v>84</v>
      </c>
      <c r="AC10" s="42">
        <f>VLOOKUP("前"&amp;$B9&amp;AD$39,'１部対戦表'!$S$1:$V$143,2,FALSE)</f>
        <v>1</v>
      </c>
      <c r="AD10" s="42" t="str">
        <f>IF(AC10&lt;&gt;"",IF(AC10&gt;AE10,"○",IF(AC10&lt;AE10,"●","△")),"-")</f>
        <v>●</v>
      </c>
      <c r="AE10" s="42">
        <f>VLOOKUP("前"&amp;$B9&amp;AD$39,'１部対戦表'!$S$1:$V$143,3,FALSE)</f>
        <v>3</v>
      </c>
      <c r="AF10" s="43" t="s">
        <v>85</v>
      </c>
      <c r="AG10" s="41" t="s">
        <v>84</v>
      </c>
      <c r="AH10" s="42">
        <f>VLOOKUP("前"&amp;$B9&amp;AI$39,'１部対戦表'!$S$1:$V$143,2,FALSE)</f>
        <v>6</v>
      </c>
      <c r="AI10" s="42" t="str">
        <f>IF(AH10&lt;&gt;"",IF(AH10&gt;AJ10,"○",IF(AH10&lt;AJ10,"●","△")),"-")</f>
        <v>○</v>
      </c>
      <c r="AJ10" s="42">
        <f>VLOOKUP("前"&amp;$B9&amp;AI$39,'１部対戦表'!$S$1:$V$143,3,FALSE)</f>
        <v>3</v>
      </c>
      <c r="AK10" s="43" t="s">
        <v>85</v>
      </c>
      <c r="AL10" s="41" t="s">
        <v>84</v>
      </c>
      <c r="AM10" s="42">
        <f>VLOOKUP("前"&amp;$B9&amp;AN$39,'１部対戦表'!$S$1:$V$143,2,FALSE)</f>
        <v>7</v>
      </c>
      <c r="AN10" s="42" t="str">
        <f>IF(AM10&lt;&gt;"",IF(AM10&gt;AO10,"○",IF(AM10&lt;AO10,"●","△")),"-")</f>
        <v>○</v>
      </c>
      <c r="AO10" s="42">
        <f>VLOOKUP("前"&amp;$B9&amp;AN$39,'１部対戦表'!$S$1:$V$143,3,FALSE)</f>
        <v>3</v>
      </c>
      <c r="AP10" s="43" t="s">
        <v>85</v>
      </c>
      <c r="AQ10" s="223"/>
      <c r="AR10" s="214"/>
      <c r="AS10" s="214"/>
      <c r="AT10" s="217"/>
      <c r="AU10" s="261"/>
      <c r="AV10" s="261"/>
      <c r="AW10" s="258"/>
      <c r="AX10" s="227"/>
      <c r="AZ10" s="263"/>
      <c r="BA10" s="61"/>
      <c r="BB10" s="274"/>
      <c r="BC10" s="61"/>
      <c r="BD10" s="32">
        <f>COUNTIF($C9:$AP12,"○")</f>
        <v>5</v>
      </c>
      <c r="BE10" s="32">
        <f>COUNTIF($C9:$AP12,"△")</f>
        <v>0</v>
      </c>
      <c r="BF10" s="32">
        <f>COUNTIF($C9:$AP12,"●")</f>
        <v>2</v>
      </c>
      <c r="BG10" s="67">
        <f>BD10*3+BE10</f>
        <v>15</v>
      </c>
      <c r="BH10" s="30"/>
      <c r="BI10" s="30"/>
      <c r="BJ10" s="30"/>
      <c r="BK10" s="63">
        <f>IF(F10&lt;&gt;"",F10,0)</f>
        <v>9</v>
      </c>
      <c r="BL10" s="63">
        <f>IF(K10&lt;&gt;"",K10,0)</f>
        <v>0</v>
      </c>
      <c r="BM10" s="63">
        <f>IF(P10&lt;&gt;"",P10,0)</f>
        <v>1</v>
      </c>
      <c r="BN10" s="63">
        <f>IF(U10&lt;&gt;"",U10,0)</f>
        <v>3</v>
      </c>
      <c r="BO10" s="63">
        <f>IF(Z10&lt;&gt;"",Z10,0)</f>
        <v>2</v>
      </c>
      <c r="BP10" s="63">
        <f>IF(AE10&lt;&gt;"",AE10,0)</f>
        <v>3</v>
      </c>
      <c r="BQ10" s="63">
        <f>IF(AJ10&lt;&gt;"",AJ10,0)</f>
        <v>3</v>
      </c>
      <c r="BR10" s="63">
        <f>IF(AO10&lt;&gt;"",AO10,0)</f>
        <v>3</v>
      </c>
    </row>
    <row r="11" spans="2:70" ht="24" customHeight="1" thickBot="1">
      <c r="B11" s="231"/>
      <c r="C11" s="230">
        <f>VLOOKUP("後"&amp;$B9&amp;E$39,'１部対戦表'!$S$1:$V$143,4,FALSE)</f>
        <v>40532</v>
      </c>
      <c r="D11" s="204"/>
      <c r="E11" s="204"/>
      <c r="F11" s="204"/>
      <c r="G11" s="205"/>
      <c r="H11" s="236"/>
      <c r="I11" s="237"/>
      <c r="J11" s="237"/>
      <c r="K11" s="237"/>
      <c r="L11" s="238"/>
      <c r="M11" s="203">
        <f>VLOOKUP("後"&amp;$B9&amp;O$39,'１部対戦表'!$S$1:$V$143,4,FALSE)</f>
        <v>40469</v>
      </c>
      <c r="N11" s="204"/>
      <c r="O11" s="204"/>
      <c r="P11" s="204"/>
      <c r="Q11" s="205"/>
      <c r="R11" s="203">
        <f>VLOOKUP("後"&amp;$B9&amp;T$39,'１部対戦表'!$S$1:$V$143,4,FALSE)</f>
        <v>40511</v>
      </c>
      <c r="S11" s="204"/>
      <c r="T11" s="204"/>
      <c r="U11" s="204"/>
      <c r="V11" s="205"/>
      <c r="W11" s="203">
        <f>VLOOKUP("後"&amp;$B9&amp;Y$39,'１部対戦表'!$S$1:$V$143,4,FALSE)</f>
        <v>40455</v>
      </c>
      <c r="X11" s="204"/>
      <c r="Y11" s="204"/>
      <c r="Z11" s="204"/>
      <c r="AA11" s="205"/>
      <c r="AB11" s="203">
        <f>VLOOKUP("後"&amp;$B9&amp;AD$39,'１部対戦表'!$S$1:$V$143,4,FALSE)</f>
        <v>40462</v>
      </c>
      <c r="AC11" s="204"/>
      <c r="AD11" s="204"/>
      <c r="AE11" s="204"/>
      <c r="AF11" s="205"/>
      <c r="AG11" s="203">
        <f>VLOOKUP("後"&amp;$B9&amp;AI$39,'１部対戦表'!$S$1:$V$143,4,FALSE)</f>
        <v>40427</v>
      </c>
      <c r="AH11" s="204"/>
      <c r="AI11" s="204"/>
      <c r="AJ11" s="204"/>
      <c r="AK11" s="205"/>
      <c r="AL11" s="203">
        <f>VLOOKUP("後"&amp;$B9&amp;AN$39,'１部対戦表'!$S$1:$V$143,4,FALSE)</f>
        <v>40441</v>
      </c>
      <c r="AM11" s="204"/>
      <c r="AN11" s="204"/>
      <c r="AO11" s="204"/>
      <c r="AP11" s="205"/>
      <c r="AQ11" s="223"/>
      <c r="AR11" s="214"/>
      <c r="AS11" s="214"/>
      <c r="AT11" s="217"/>
      <c r="AU11" s="261"/>
      <c r="AV11" s="261"/>
      <c r="AW11" s="258"/>
      <c r="AX11" s="227"/>
      <c r="AZ11" s="264"/>
      <c r="BA11" s="61"/>
      <c r="BB11" s="275"/>
      <c r="BC11" s="61"/>
      <c r="BD11" s="75" t="s">
        <v>96</v>
      </c>
      <c r="BE11" s="75" t="s">
        <v>97</v>
      </c>
      <c r="BF11" s="75" t="s">
        <v>98</v>
      </c>
      <c r="BG11" s="31"/>
      <c r="BH11" s="31" t="s">
        <v>104</v>
      </c>
      <c r="BI11" s="65">
        <f>IF(AND(BD10=0,BE10=0,BF10=0),0,+AT9*1000+AW9)</f>
        <v>15005</v>
      </c>
      <c r="BJ11" s="66"/>
      <c r="BK11" s="63">
        <f>IF(D12&lt;&gt;"",D12,0)</f>
        <v>0</v>
      </c>
      <c r="BL11" s="63">
        <f>IF(I12&lt;&gt;"",I12,0)</f>
        <v>0</v>
      </c>
      <c r="BM11" s="63">
        <f>IF(N12&lt;&gt;"",N12,0)</f>
        <v>0</v>
      </c>
      <c r="BN11" s="63">
        <f>IF(S12&lt;&gt;"",S12,0)</f>
        <v>0</v>
      </c>
      <c r="BO11" s="63">
        <f>IF(X12&lt;&gt;"",X12,0)</f>
        <v>0</v>
      </c>
      <c r="BP11" s="63">
        <f>IF(AC12&lt;&gt;"",AC12,0)</f>
        <v>0</v>
      </c>
      <c r="BQ11" s="63">
        <f>IF(AH12&lt;&gt;"",AH12,0)</f>
        <v>0</v>
      </c>
      <c r="BR11" s="63">
        <f>IF(AM12&lt;&gt;"",AM12,0)</f>
        <v>0</v>
      </c>
    </row>
    <row r="12" spans="2:70" ht="24" customHeight="1">
      <c r="B12" s="232"/>
      <c r="C12" s="38" t="s">
        <v>84</v>
      </c>
      <c r="D12" s="39">
        <f>VLOOKUP("後"&amp;$B9&amp;E$39,'１部対戦表'!$S$1:$V$143,2,FALSE)</f>
      </c>
      <c r="E12" s="39">
        <f>IF(D12&lt;&gt;"",IF(D12&gt;F12,"○",IF(D12&lt;F12,"●","△")),"")</f>
      </c>
      <c r="F12" s="39">
        <f>VLOOKUP("後"&amp;$B9&amp;E$39,'１部対戦表'!$S$1:$V$143,3,FALSE)</f>
      </c>
      <c r="G12" s="40" t="s">
        <v>85</v>
      </c>
      <c r="H12" s="239"/>
      <c r="I12" s="240"/>
      <c r="J12" s="240"/>
      <c r="K12" s="240"/>
      <c r="L12" s="241"/>
      <c r="M12" s="38" t="s">
        <v>84</v>
      </c>
      <c r="N12" s="39">
        <f>VLOOKUP("後"&amp;$B9&amp;O$39,'１部対戦表'!$S$1:$V$143,2,FALSE)</f>
      </c>
      <c r="O12" s="39">
        <f>IF(N12&lt;&gt;"",IF(N12&gt;P12,"○",IF(N12&lt;P12,"●","△")),"")</f>
      </c>
      <c r="P12" s="39">
        <f>VLOOKUP("後"&amp;$B9&amp;O$39,'１部対戦表'!$S$1:$V$143,3,FALSE)</f>
      </c>
      <c r="Q12" s="40" t="s">
        <v>85</v>
      </c>
      <c r="R12" s="38" t="s">
        <v>84</v>
      </c>
      <c r="S12" s="39">
        <f>VLOOKUP("後"&amp;$B9&amp;T$39,'１部対戦表'!$S$1:$V$143,2,FALSE)</f>
      </c>
      <c r="T12" s="39">
        <f>IF(S12&lt;&gt;"",IF(S12&gt;U12,"○",IF(S12&lt;U12,"●","△")),"")</f>
      </c>
      <c r="U12" s="39">
        <f>VLOOKUP("後"&amp;$B9&amp;T$39,'１部対戦表'!$S$1:$V$143,3,FALSE)</f>
      </c>
      <c r="V12" s="40" t="s">
        <v>85</v>
      </c>
      <c r="W12" s="38" t="s">
        <v>84</v>
      </c>
      <c r="X12" s="39">
        <f>VLOOKUP("後"&amp;$B9&amp;Y$39,'１部対戦表'!$S$1:$V$143,2,FALSE)</f>
      </c>
      <c r="Y12" s="39">
        <f>IF(X12&lt;&gt;"",IF(X12&gt;Z12,"○",IF(X12&lt;Z12,"●","△")),"")</f>
      </c>
      <c r="Z12" s="39">
        <f>VLOOKUP("後"&amp;$B9&amp;Y$39,'１部対戦表'!$S$1:$V$143,3,FALSE)</f>
      </c>
      <c r="AA12" s="40" t="s">
        <v>85</v>
      </c>
      <c r="AB12" s="38" t="s">
        <v>84</v>
      </c>
      <c r="AC12" s="39">
        <f>VLOOKUP("後"&amp;$B9&amp;AD$39,'１部対戦表'!$S$1:$V$143,2,FALSE)</f>
      </c>
      <c r="AD12" s="39">
        <f>IF(AC12&lt;&gt;"",IF(AC12&gt;AE12,"○",IF(AC12&lt;AE12,"●","△")),"")</f>
      </c>
      <c r="AE12" s="39">
        <f>VLOOKUP("後"&amp;$B9&amp;AD$39,'１部対戦表'!$S$1:$V$143,3,FALSE)</f>
      </c>
      <c r="AF12" s="40" t="s">
        <v>85</v>
      </c>
      <c r="AG12" s="38" t="s">
        <v>84</v>
      </c>
      <c r="AH12" s="39">
        <f>VLOOKUP("後"&amp;$B9&amp;AI$39,'１部対戦表'!$S$1:$V$143,2,FALSE)</f>
      </c>
      <c r="AI12" s="39">
        <f>IF(AH12&lt;&gt;"",IF(AH12&gt;AJ12,"○",IF(AH12&lt;AJ12,"●","△")),"")</f>
      </c>
      <c r="AJ12" s="39">
        <f>VLOOKUP("後"&amp;$B9&amp;AI$39,'１部対戦表'!$S$1:$V$143,3,FALSE)</f>
      </c>
      <c r="AK12" s="40" t="s">
        <v>85</v>
      </c>
      <c r="AL12" s="38" t="s">
        <v>84</v>
      </c>
      <c r="AM12" s="39">
        <f>VLOOKUP("後"&amp;$B9&amp;AN$39,'１部対戦表'!$S$1:$V$143,2,FALSE)</f>
      </c>
      <c r="AN12" s="39">
        <f>IF(AM12&lt;&gt;"",IF(AM12&gt;AO12,"○",IF(AM12&lt;AO12,"●","△")),"")</f>
      </c>
      <c r="AO12" s="39">
        <f>VLOOKUP("後"&amp;$B9&amp;AN$39,'１部対戦表'!$S$1:$V$143,3,FALSE)</f>
      </c>
      <c r="AP12" s="40" t="s">
        <v>85</v>
      </c>
      <c r="AQ12" s="224"/>
      <c r="AR12" s="225"/>
      <c r="AS12" s="225"/>
      <c r="AT12" s="229"/>
      <c r="AU12" s="262"/>
      <c r="AV12" s="262"/>
      <c r="AW12" s="259"/>
      <c r="AX12" s="228"/>
      <c r="BD12" s="75">
        <f>SUM(BK9:BR9)+SUM(BK11:BR11)</f>
        <v>29</v>
      </c>
      <c r="BE12" s="75">
        <f>SUM(BK10:BR10)+SUM(BK12:BR12)</f>
        <v>24</v>
      </c>
      <c r="BF12" s="57">
        <f>+BD12-BE12</f>
        <v>5</v>
      </c>
      <c r="BG12" s="31"/>
      <c r="BH12" s="31"/>
      <c r="BI12" s="31"/>
      <c r="BJ12" s="31"/>
      <c r="BK12" s="64">
        <f>IF(F12&lt;&gt;"",F12,0)</f>
        <v>0</v>
      </c>
      <c r="BL12" s="64">
        <f>IF(K12&lt;&gt;"",K12,0)</f>
        <v>0</v>
      </c>
      <c r="BM12" s="64">
        <f>IF(P12&lt;&gt;"",P12,0)</f>
        <v>0</v>
      </c>
      <c r="BN12" s="64">
        <f>IF(U12&lt;&gt;"",U12,0)</f>
        <v>0</v>
      </c>
      <c r="BO12" s="64">
        <f>IF(Z12&lt;&gt;"",Z12,0)</f>
        <v>0</v>
      </c>
      <c r="BP12" s="64">
        <f>IF(AE12&lt;&gt;"",AE12,0)</f>
        <v>0</v>
      </c>
      <c r="BQ12" s="64">
        <f>IF(AJ12&lt;&gt;"",AJ12,0)</f>
        <v>0</v>
      </c>
      <c r="BR12" s="64">
        <f>IF(AO12&lt;&gt;"",AO12,0)</f>
        <v>0</v>
      </c>
    </row>
    <row r="13" spans="2:70" ht="24" customHeight="1" thickBot="1">
      <c r="B13" s="69" t="str">
        <f>+AX65</f>
        <v>G</v>
      </c>
      <c r="C13" s="200">
        <f>VLOOKUP("前"&amp;$B13&amp;E$39,'１部対戦表'!$S$1:$V$143,4,FALSE)</f>
        <v>40315</v>
      </c>
      <c r="D13" s="201"/>
      <c r="E13" s="201"/>
      <c r="F13" s="201"/>
      <c r="G13" s="202"/>
      <c r="H13" s="200">
        <f>VLOOKUP("前"&amp;$B13&amp;J$39,'１部対戦表'!$S$1:$V$143,4,FALSE)</f>
        <v>40379</v>
      </c>
      <c r="I13" s="201"/>
      <c r="J13" s="201"/>
      <c r="K13" s="201"/>
      <c r="L13" s="202"/>
      <c r="M13" s="233"/>
      <c r="N13" s="234"/>
      <c r="O13" s="234"/>
      <c r="P13" s="234"/>
      <c r="Q13" s="235"/>
      <c r="R13" s="200">
        <f>VLOOKUP("前"&amp;$B13&amp;T$39,'１部対戦表'!$S$1:$V$143,4,FALSE)</f>
        <v>40343</v>
      </c>
      <c r="S13" s="201"/>
      <c r="T13" s="201"/>
      <c r="U13" s="201"/>
      <c r="V13" s="202"/>
      <c r="W13" s="200">
        <f>VLOOKUP("前"&amp;$B13&amp;Y$39,'１部対戦表'!$S$1:$V$143,4,FALSE)</f>
        <v>40350</v>
      </c>
      <c r="X13" s="201"/>
      <c r="Y13" s="201"/>
      <c r="Z13" s="201"/>
      <c r="AA13" s="202"/>
      <c r="AB13" s="200">
        <f>VLOOKUP("前"&amp;$B13&amp;AD$39,'１部対戦表'!$S$1:$V$143,4,FALSE)</f>
        <v>40392</v>
      </c>
      <c r="AC13" s="201"/>
      <c r="AD13" s="201"/>
      <c r="AE13" s="201"/>
      <c r="AF13" s="202"/>
      <c r="AG13" s="200">
        <f>VLOOKUP("前"&amp;$B13&amp;AI$39,'１部対戦表'!$S$1:$V$143,4,FALSE)</f>
        <v>40399</v>
      </c>
      <c r="AH13" s="201"/>
      <c r="AI13" s="201"/>
      <c r="AJ13" s="201"/>
      <c r="AK13" s="202"/>
      <c r="AL13" s="200">
        <f>VLOOKUP("前"&amp;$B13&amp;AN$39,'１部対戦表'!$S$1:$V$143,4,FALSE)</f>
        <v>40356</v>
      </c>
      <c r="AM13" s="201"/>
      <c r="AN13" s="201"/>
      <c r="AO13" s="201"/>
      <c r="AP13" s="202"/>
      <c r="AQ13" s="223">
        <f>IF(AND($BD14=0,$BE14=0,$BF14=0),"",BD14)</f>
        <v>4</v>
      </c>
      <c r="AR13" s="214">
        <f>IF(AND($BD14=0,$BE14=0,$BF14=0),"",BE14)</f>
        <v>1</v>
      </c>
      <c r="AS13" s="214">
        <f>IF(AND($BD14=0,$BE14=0,$BF14=0),"",BF14)</f>
        <v>2</v>
      </c>
      <c r="AT13" s="216">
        <f>IF(AND($BD14=0,$BE14=0,$BF14=0),"",BG14+AZ14)</f>
        <v>13</v>
      </c>
      <c r="AU13" s="260">
        <f>IF(AND($BD14=0,$BE14=0,$BF14=0),"",BD16)</f>
        <v>26</v>
      </c>
      <c r="AV13" s="260">
        <f>IF(AND($BD14=0,$BE14=0,$BF14=0),"",BE16)</f>
        <v>15</v>
      </c>
      <c r="AW13" s="257">
        <f>IF(AND($BD14=0,$BE14=0,$BF14=0),"",BF16)</f>
        <v>11</v>
      </c>
      <c r="AX13" s="226">
        <f>IF(AND($BD14=0,$BE14=0,$BF14=0),"",RANK(BI15,BI$7:BI$35))</f>
        <v>3</v>
      </c>
      <c r="BD13" s="67" t="s">
        <v>92</v>
      </c>
      <c r="BE13" s="67" t="s">
        <v>93</v>
      </c>
      <c r="BF13" s="67" t="s">
        <v>94</v>
      </c>
      <c r="BG13" s="67" t="s">
        <v>95</v>
      </c>
      <c r="BH13" s="30"/>
      <c r="BI13" s="30"/>
      <c r="BJ13" s="30"/>
      <c r="BK13" s="62">
        <f>IF(D14&lt;&gt;"",D14,0)</f>
        <v>2</v>
      </c>
      <c r="BL13" s="62">
        <f>IF(I14&lt;&gt;"",I14,0)</f>
        <v>1</v>
      </c>
      <c r="BM13" s="62">
        <f>IF(N14&lt;&gt;"",N14,0)</f>
        <v>0</v>
      </c>
      <c r="BN13" s="62">
        <f>IF(S14&lt;&gt;"",S14,0)</f>
        <v>1</v>
      </c>
      <c r="BO13" s="62">
        <f>IF(X14&lt;&gt;"",X14,0)</f>
        <v>12</v>
      </c>
      <c r="BP13" s="62">
        <f>IF(AC14&lt;&gt;"",AC14,0)</f>
        <v>6</v>
      </c>
      <c r="BQ13" s="62">
        <f>IF(AH14&lt;&gt;"",AH14,0)</f>
        <v>2</v>
      </c>
      <c r="BR13" s="62">
        <f>IF(AM14&lt;&gt;"",AM14,0)</f>
        <v>2</v>
      </c>
    </row>
    <row r="14" spans="2:70" ht="24" customHeight="1">
      <c r="B14" s="231" t="str">
        <f>VLOOKUP(B13,'参加チーム'!$B$5:$G$73,IF($AQ$3=1,4,5),FALSE)</f>
        <v>D-GUCCI</v>
      </c>
      <c r="C14" s="41" t="s">
        <v>84</v>
      </c>
      <c r="D14" s="42">
        <f>VLOOKUP("前"&amp;$B13&amp;E$39,'１部対戦表'!$S$1:$V$143,2,FALSE)</f>
        <v>2</v>
      </c>
      <c r="E14" s="42" t="str">
        <f>IF(D14&lt;&gt;"",IF(D14&gt;F14,"○",IF(D14&lt;F14,"●","△")),"-")</f>
        <v>●</v>
      </c>
      <c r="F14" s="42">
        <f>VLOOKUP("前"&amp;$B13&amp;E$39,'１部対戦表'!$S$1:$V$143,3,FALSE)</f>
        <v>3</v>
      </c>
      <c r="G14" s="43" t="s">
        <v>85</v>
      </c>
      <c r="H14" s="41" t="s">
        <v>84</v>
      </c>
      <c r="I14" s="42">
        <f>VLOOKUP("前"&amp;$B13&amp;J$39,'１部対戦表'!$S$1:$V$143,2,FALSE)</f>
        <v>1</v>
      </c>
      <c r="J14" s="42" t="str">
        <f>IF(I14&lt;&gt;"",IF(I14&gt;K14,"○",IF(I14&lt;K14,"●","△")),"-")</f>
        <v>●</v>
      </c>
      <c r="K14" s="42">
        <f>VLOOKUP("前"&amp;$B13&amp;J$39,'１部対戦表'!$S$1:$V$143,3,FALSE)</f>
        <v>3</v>
      </c>
      <c r="L14" s="43" t="s">
        <v>85</v>
      </c>
      <c r="M14" s="236"/>
      <c r="N14" s="237"/>
      <c r="O14" s="237"/>
      <c r="P14" s="237"/>
      <c r="Q14" s="238"/>
      <c r="R14" s="41" t="s">
        <v>84</v>
      </c>
      <c r="S14" s="42">
        <f>VLOOKUP("前"&amp;$B13&amp;T$39,'１部対戦表'!$S$1:$V$143,2,FALSE)</f>
        <v>1</v>
      </c>
      <c r="T14" s="42" t="str">
        <f>IF(S14&lt;&gt;"",IF(S14&gt;U14,"○",IF(S14&lt;U14,"●","△")),"-")</f>
        <v>△</v>
      </c>
      <c r="U14" s="42">
        <f>VLOOKUP("前"&amp;$B13&amp;T$39,'１部対戦表'!$S$1:$V$143,3,FALSE)</f>
        <v>1</v>
      </c>
      <c r="V14" s="43" t="s">
        <v>85</v>
      </c>
      <c r="W14" s="41" t="s">
        <v>84</v>
      </c>
      <c r="X14" s="42">
        <f>VLOOKUP("前"&amp;$B13&amp;Y$39,'１部対戦表'!$S$1:$V$143,2,FALSE)</f>
        <v>12</v>
      </c>
      <c r="Y14" s="42" t="str">
        <f>IF(X14&lt;&gt;"",IF(X14&gt;Z14,"○",IF(X14&lt;Z14,"●","△")),"-")</f>
        <v>○</v>
      </c>
      <c r="Z14" s="42">
        <f>VLOOKUP("前"&amp;$B13&amp;Y$39,'１部対戦表'!$S$1:$V$143,3,FALSE)</f>
        <v>3</v>
      </c>
      <c r="AA14" s="43" t="s">
        <v>85</v>
      </c>
      <c r="AB14" s="41" t="s">
        <v>84</v>
      </c>
      <c r="AC14" s="42">
        <f>VLOOKUP("前"&amp;$B13&amp;AD$39,'１部対戦表'!$S$1:$V$143,2,FALSE)</f>
        <v>6</v>
      </c>
      <c r="AD14" s="42" t="str">
        <f>IF(AC14&lt;&gt;"",IF(AC14&gt;AE14,"○",IF(AC14&lt;AE14,"●","△")),"-")</f>
        <v>○</v>
      </c>
      <c r="AE14" s="42">
        <f>VLOOKUP("前"&amp;$B13&amp;AD$39,'１部対戦表'!$S$1:$V$143,3,FALSE)</f>
        <v>3</v>
      </c>
      <c r="AF14" s="43" t="s">
        <v>85</v>
      </c>
      <c r="AG14" s="41" t="s">
        <v>84</v>
      </c>
      <c r="AH14" s="42">
        <f>VLOOKUP("前"&amp;$B13&amp;AI$39,'１部対戦表'!$S$1:$V$143,2,FALSE)</f>
        <v>2</v>
      </c>
      <c r="AI14" s="42" t="str">
        <f>IF(AH14&lt;&gt;"",IF(AH14&gt;AJ14,"○",IF(AH14&lt;AJ14,"●","△")),"-")</f>
        <v>○</v>
      </c>
      <c r="AJ14" s="42">
        <f>VLOOKUP("前"&amp;$B13&amp;AI$39,'１部対戦表'!$S$1:$V$143,3,FALSE)</f>
        <v>1</v>
      </c>
      <c r="AK14" s="43" t="s">
        <v>85</v>
      </c>
      <c r="AL14" s="41" t="s">
        <v>84</v>
      </c>
      <c r="AM14" s="42">
        <f>VLOOKUP("前"&amp;$B13&amp;AN$39,'１部対戦表'!$S$1:$V$143,2,FALSE)</f>
        <v>2</v>
      </c>
      <c r="AN14" s="42" t="str">
        <f>IF(AM14&lt;&gt;"",IF(AM14&gt;AO14,"○",IF(AM14&lt;AO14,"●","△")),"-")</f>
        <v>○</v>
      </c>
      <c r="AO14" s="42">
        <f>VLOOKUP("前"&amp;$B13&amp;AN$39,'１部対戦表'!$S$1:$V$143,3,FALSE)</f>
        <v>1</v>
      </c>
      <c r="AP14" s="43" t="s">
        <v>85</v>
      </c>
      <c r="AQ14" s="223"/>
      <c r="AR14" s="214"/>
      <c r="AS14" s="214"/>
      <c r="AT14" s="217"/>
      <c r="AU14" s="261"/>
      <c r="AV14" s="261"/>
      <c r="AW14" s="258"/>
      <c r="AX14" s="227"/>
      <c r="AZ14" s="263"/>
      <c r="BA14" s="61"/>
      <c r="BB14" s="274"/>
      <c r="BC14" s="61"/>
      <c r="BD14" s="32">
        <f>COUNTIF($C13:$AP16,"○")</f>
        <v>4</v>
      </c>
      <c r="BE14" s="32">
        <f>COUNTIF($C13:$AP16,"△")</f>
        <v>1</v>
      </c>
      <c r="BF14" s="32">
        <f>COUNTIF($C13:$AP16,"●")</f>
        <v>2</v>
      </c>
      <c r="BG14" s="67">
        <f>BD14*3+BE14</f>
        <v>13</v>
      </c>
      <c r="BH14" s="30"/>
      <c r="BI14" s="30"/>
      <c r="BJ14" s="30"/>
      <c r="BK14" s="63">
        <f>IF(F14&lt;&gt;"",F14,0)</f>
        <v>3</v>
      </c>
      <c r="BL14" s="63">
        <f>IF(K14&lt;&gt;"",K14,0)</f>
        <v>3</v>
      </c>
      <c r="BM14" s="63">
        <f>IF(P14&lt;&gt;"",P14,0)</f>
        <v>0</v>
      </c>
      <c r="BN14" s="63">
        <f>IF(U14&lt;&gt;"",U14,0)</f>
        <v>1</v>
      </c>
      <c r="BO14" s="63">
        <f>IF(Z14&lt;&gt;"",Z14,0)</f>
        <v>3</v>
      </c>
      <c r="BP14" s="63">
        <f>IF(AE14&lt;&gt;"",AE14,0)</f>
        <v>3</v>
      </c>
      <c r="BQ14" s="63">
        <f>IF(AJ14&lt;&gt;"",AJ14,0)</f>
        <v>1</v>
      </c>
      <c r="BR14" s="63">
        <f>IF(AO14&lt;&gt;"",AO14,0)</f>
        <v>1</v>
      </c>
    </row>
    <row r="15" spans="2:70" ht="24" customHeight="1" thickBot="1">
      <c r="B15" s="231"/>
      <c r="C15" s="230">
        <f>VLOOKUP("後"&amp;$B13&amp;E$39,'１部対戦表'!$S$1:$V$143,4,FALSE)</f>
        <v>40511</v>
      </c>
      <c r="D15" s="204"/>
      <c r="E15" s="204"/>
      <c r="F15" s="204"/>
      <c r="G15" s="205"/>
      <c r="H15" s="203">
        <f>VLOOKUP("後"&amp;$B13&amp;J$39,'１部対戦表'!$S$1:$V$143,4,FALSE)</f>
        <v>40469</v>
      </c>
      <c r="I15" s="204"/>
      <c r="J15" s="204"/>
      <c r="K15" s="204"/>
      <c r="L15" s="205"/>
      <c r="M15" s="236"/>
      <c r="N15" s="237"/>
      <c r="O15" s="237"/>
      <c r="P15" s="237"/>
      <c r="Q15" s="238"/>
      <c r="R15" s="203">
        <f>VLOOKUP("後"&amp;$B13&amp;T$39,'１部対戦表'!$S$1:$V$143,4,FALSE)</f>
        <v>40532</v>
      </c>
      <c r="S15" s="204"/>
      <c r="T15" s="204"/>
      <c r="U15" s="204"/>
      <c r="V15" s="205"/>
      <c r="W15" s="203">
        <f>VLOOKUP("後"&amp;$B13&amp;Y$39,'１部対戦表'!$S$1:$V$143,4,FALSE)</f>
        <v>40441</v>
      </c>
      <c r="X15" s="204"/>
      <c r="Y15" s="204"/>
      <c r="Z15" s="204"/>
      <c r="AA15" s="205"/>
      <c r="AB15" s="203">
        <f>VLOOKUP("後"&amp;$B13&amp;AD$39,'１部対戦表'!$S$1:$V$143,4,FALSE)</f>
        <v>40427</v>
      </c>
      <c r="AC15" s="204"/>
      <c r="AD15" s="204"/>
      <c r="AE15" s="204"/>
      <c r="AF15" s="205"/>
      <c r="AG15" s="203">
        <f>VLOOKUP("後"&amp;$B13&amp;AI$39,'１部対戦表'!$S$1:$V$143,4,FALSE)</f>
        <v>40462</v>
      </c>
      <c r="AH15" s="204"/>
      <c r="AI15" s="204"/>
      <c r="AJ15" s="204"/>
      <c r="AK15" s="205"/>
      <c r="AL15" s="254">
        <f>VLOOKUP("後"&amp;$B13&amp;AN$39,'１部対戦表'!$S$1:$V$143,4,FALSE)</f>
        <v>40455</v>
      </c>
      <c r="AM15" s="255"/>
      <c r="AN15" s="255"/>
      <c r="AO15" s="255"/>
      <c r="AP15" s="256"/>
      <c r="AQ15" s="223"/>
      <c r="AR15" s="214"/>
      <c r="AS15" s="214"/>
      <c r="AT15" s="217"/>
      <c r="AU15" s="261"/>
      <c r="AV15" s="261"/>
      <c r="AW15" s="258"/>
      <c r="AX15" s="227"/>
      <c r="AZ15" s="264"/>
      <c r="BA15" s="61"/>
      <c r="BB15" s="275"/>
      <c r="BC15" s="61"/>
      <c r="BD15" s="75" t="s">
        <v>96</v>
      </c>
      <c r="BE15" s="75" t="s">
        <v>97</v>
      </c>
      <c r="BF15" s="75" t="s">
        <v>98</v>
      </c>
      <c r="BG15" s="31"/>
      <c r="BH15" s="31" t="s">
        <v>104</v>
      </c>
      <c r="BI15" s="65">
        <f>IF(AND(BD14=0,BE14=0,BF14=0),0,+AT13*1000+AW13)</f>
        <v>13011</v>
      </c>
      <c r="BJ15" s="66"/>
      <c r="BK15" s="63">
        <f>IF(D16&lt;&gt;"",D16,0)</f>
        <v>0</v>
      </c>
      <c r="BL15" s="63">
        <f>IF(I16&lt;&gt;"",I16,0)</f>
        <v>0</v>
      </c>
      <c r="BM15" s="63">
        <f>IF(N16&lt;&gt;"",N16,0)</f>
        <v>0</v>
      </c>
      <c r="BN15" s="63">
        <f>IF(S16&lt;&gt;"",S16,0)</f>
        <v>0</v>
      </c>
      <c r="BO15" s="63">
        <f>IF(X16&lt;&gt;"",X16,0)</f>
        <v>0</v>
      </c>
      <c r="BP15" s="63">
        <f>IF(AC16&lt;&gt;"",AC16,0)</f>
        <v>0</v>
      </c>
      <c r="BQ15" s="63">
        <f>IF(AH16&lt;&gt;"",AH16,0)</f>
        <v>0</v>
      </c>
      <c r="BR15" s="63">
        <f>IF(AM16&lt;&gt;"",AM16,0)</f>
        <v>0</v>
      </c>
    </row>
    <row r="16" spans="2:70" ht="24" customHeight="1">
      <c r="B16" s="232"/>
      <c r="C16" s="38" t="s">
        <v>84</v>
      </c>
      <c r="D16" s="39">
        <f>VLOOKUP("後"&amp;$B13&amp;E$39,'１部対戦表'!$S$1:$V$143,2,FALSE)</f>
      </c>
      <c r="E16" s="39">
        <f>IF(D16&lt;&gt;"",IF(D16&gt;F16,"○",IF(D16&lt;F16,"●","△")),"")</f>
      </c>
      <c r="F16" s="39">
        <f>VLOOKUP("後"&amp;$B13&amp;E$39,'１部対戦表'!$S$1:$V$143,3,FALSE)</f>
      </c>
      <c r="G16" s="40" t="s">
        <v>85</v>
      </c>
      <c r="H16" s="38" t="s">
        <v>84</v>
      </c>
      <c r="I16" s="39">
        <f>VLOOKUP("後"&amp;$B13&amp;J$39,'１部対戦表'!$S$1:$V$143,2,FALSE)</f>
      </c>
      <c r="J16" s="39">
        <f>IF(I16&lt;&gt;"",IF(I16&gt;K16,"○",IF(I16&lt;K16,"●","△")),"")</f>
      </c>
      <c r="K16" s="39">
        <f>VLOOKUP("後"&amp;$B13&amp;J$39,'１部対戦表'!$S$1:$V$143,3,FALSE)</f>
      </c>
      <c r="L16" s="40" t="s">
        <v>85</v>
      </c>
      <c r="M16" s="239"/>
      <c r="N16" s="240"/>
      <c r="O16" s="240"/>
      <c r="P16" s="240"/>
      <c r="Q16" s="241"/>
      <c r="R16" s="38" t="s">
        <v>84</v>
      </c>
      <c r="S16" s="39">
        <f>VLOOKUP("後"&amp;$B13&amp;T$39,'１部対戦表'!$S$1:$V$143,2,FALSE)</f>
      </c>
      <c r="T16" s="39">
        <f>IF(S16&lt;&gt;"",IF(S16&gt;U16,"○",IF(S16&lt;U16,"●","△")),"")</f>
      </c>
      <c r="U16" s="39">
        <f>VLOOKUP("後"&amp;$B13&amp;T$39,'１部対戦表'!$S$1:$V$143,3,FALSE)</f>
      </c>
      <c r="V16" s="40" t="s">
        <v>85</v>
      </c>
      <c r="W16" s="38" t="s">
        <v>84</v>
      </c>
      <c r="X16" s="39">
        <f>VLOOKUP("後"&amp;$B13&amp;Y$39,'１部対戦表'!$S$1:$V$143,2,FALSE)</f>
      </c>
      <c r="Y16" s="39">
        <f>IF(X16&lt;&gt;"",IF(X16&gt;Z16,"○",IF(X16&lt;Z16,"●","△")),"")</f>
      </c>
      <c r="Z16" s="39">
        <f>VLOOKUP("後"&amp;$B13&amp;Y$39,'１部対戦表'!$S$1:$V$143,3,FALSE)</f>
      </c>
      <c r="AA16" s="40" t="s">
        <v>85</v>
      </c>
      <c r="AB16" s="38" t="s">
        <v>84</v>
      </c>
      <c r="AC16" s="39">
        <f>VLOOKUP("後"&amp;$B13&amp;AD$39,'１部対戦表'!$S$1:$V$143,2,FALSE)</f>
      </c>
      <c r="AD16" s="39">
        <f>IF(AC16&lt;&gt;"",IF(AC16&gt;AE16,"○",IF(AC16&lt;AE16,"●","△")),"")</f>
      </c>
      <c r="AE16" s="39">
        <f>VLOOKUP("後"&amp;$B13&amp;AD$39,'１部対戦表'!$S$1:$V$143,3,FALSE)</f>
      </c>
      <c r="AF16" s="40" t="s">
        <v>85</v>
      </c>
      <c r="AG16" s="38" t="s">
        <v>84</v>
      </c>
      <c r="AH16" s="39">
        <f>VLOOKUP("後"&amp;$B13&amp;AI$39,'１部対戦表'!$S$1:$V$143,2,FALSE)</f>
      </c>
      <c r="AI16" s="39">
        <f>IF(AH16&lt;&gt;"",IF(AH16&gt;AJ16,"○",IF(AH16&lt;AJ16,"●","△")),"")</f>
      </c>
      <c r="AJ16" s="39">
        <f>VLOOKUP("後"&amp;$B13&amp;AI$39,'１部対戦表'!$S$1:$V$143,3,FALSE)</f>
      </c>
      <c r="AK16" s="40" t="s">
        <v>85</v>
      </c>
      <c r="AL16" s="38" t="s">
        <v>84</v>
      </c>
      <c r="AM16" s="39">
        <f>VLOOKUP("後"&amp;$B13&amp;AN$39,'１部対戦表'!$S$1:$V$143,2,FALSE)</f>
      </c>
      <c r="AN16" s="39">
        <f>IF(AM16&lt;&gt;"",IF(AM16&gt;AO16,"○",IF(AM16&lt;AO16,"●","△")),"")</f>
      </c>
      <c r="AO16" s="39">
        <f>VLOOKUP("後"&amp;$B13&amp;AN$39,'１部対戦表'!$S$1:$V$143,3,FALSE)</f>
      </c>
      <c r="AP16" s="40" t="s">
        <v>85</v>
      </c>
      <c r="AQ16" s="224"/>
      <c r="AR16" s="225"/>
      <c r="AS16" s="225"/>
      <c r="AT16" s="229"/>
      <c r="AU16" s="262"/>
      <c r="AV16" s="262"/>
      <c r="AW16" s="259"/>
      <c r="AX16" s="228"/>
      <c r="BD16" s="75">
        <f>SUM(BK13:BR13)+SUM(BK15:BR15)</f>
        <v>26</v>
      </c>
      <c r="BE16" s="75">
        <f>SUM(BK14:BR14)+SUM(BK16:BR16)</f>
        <v>15</v>
      </c>
      <c r="BF16" s="57">
        <f>+BD16-BE16</f>
        <v>11</v>
      </c>
      <c r="BG16" s="31"/>
      <c r="BH16" s="31"/>
      <c r="BI16" s="31"/>
      <c r="BJ16" s="31"/>
      <c r="BK16" s="64">
        <f>IF(F16&lt;&gt;"",F16,0)</f>
        <v>0</v>
      </c>
      <c r="BL16" s="64">
        <f>IF(K16&lt;&gt;"",K16,0)</f>
        <v>0</v>
      </c>
      <c r="BM16" s="64">
        <f>IF(P16&lt;&gt;"",P16,0)</f>
        <v>0</v>
      </c>
      <c r="BN16" s="64">
        <f>IF(U16&lt;&gt;"",U16,0)</f>
        <v>0</v>
      </c>
      <c r="BO16" s="64">
        <f>IF(Z16&lt;&gt;"",Z16,0)</f>
        <v>0</v>
      </c>
      <c r="BP16" s="64">
        <f>IF(AE16&lt;&gt;"",AE16,0)</f>
        <v>0</v>
      </c>
      <c r="BQ16" s="64">
        <f>IF(AJ16&lt;&gt;"",AJ16,0)</f>
        <v>0</v>
      </c>
      <c r="BR16" s="64">
        <f>IF(AO16&lt;&gt;"",AO16,0)</f>
        <v>0</v>
      </c>
    </row>
    <row r="17" spans="2:70" ht="24" customHeight="1" thickBot="1">
      <c r="B17" s="69" t="str">
        <f>+AX66</f>
        <v>Ａ</v>
      </c>
      <c r="C17" s="200">
        <f>VLOOKUP("前"&amp;$B17&amp;E$39,'１部対戦表'!$S$1:$V$143,4,FALSE)</f>
        <v>40399</v>
      </c>
      <c r="D17" s="201"/>
      <c r="E17" s="201"/>
      <c r="F17" s="201"/>
      <c r="G17" s="202"/>
      <c r="H17" s="200">
        <f>VLOOKUP("前"&amp;$B17&amp;J$39,'１部対戦表'!$S$1:$V$143,4,FALSE)</f>
        <v>40350</v>
      </c>
      <c r="I17" s="201"/>
      <c r="J17" s="201"/>
      <c r="K17" s="201"/>
      <c r="L17" s="202"/>
      <c r="M17" s="200">
        <f>VLOOKUP("前"&amp;$B17&amp;O$39,'１部対戦表'!$S$1:$V$143,4,FALSE)</f>
        <v>40343</v>
      </c>
      <c r="N17" s="201"/>
      <c r="O17" s="201"/>
      <c r="P17" s="201"/>
      <c r="Q17" s="202"/>
      <c r="R17" s="233"/>
      <c r="S17" s="234"/>
      <c r="T17" s="234"/>
      <c r="U17" s="234"/>
      <c r="V17" s="235"/>
      <c r="W17" s="200">
        <f>VLOOKUP("前"&amp;$B17&amp;Y$39,'１部対戦表'!$S$1:$V$143,4,FALSE)</f>
        <v>40392</v>
      </c>
      <c r="X17" s="201"/>
      <c r="Y17" s="201"/>
      <c r="Z17" s="201"/>
      <c r="AA17" s="202"/>
      <c r="AB17" s="200">
        <f>VLOOKUP("前"&amp;$B17&amp;AD$39,'１部対戦表'!$S$1:$V$143,4,FALSE)</f>
        <v>40364</v>
      </c>
      <c r="AC17" s="201"/>
      <c r="AD17" s="201"/>
      <c r="AE17" s="201"/>
      <c r="AF17" s="202"/>
      <c r="AG17" s="200">
        <f>VLOOKUP("前"&amp;$B17&amp;AI$39,'１部対戦表'!$S$1:$V$143,4,FALSE)</f>
        <v>40379</v>
      </c>
      <c r="AH17" s="201"/>
      <c r="AI17" s="201"/>
      <c r="AJ17" s="201"/>
      <c r="AK17" s="202"/>
      <c r="AL17" s="200">
        <f>VLOOKUP("前"&amp;$B17&amp;AN$39,'１部対戦表'!$S$1:$V$143,4,FALSE)</f>
        <v>40315</v>
      </c>
      <c r="AM17" s="201"/>
      <c r="AN17" s="201"/>
      <c r="AO17" s="201"/>
      <c r="AP17" s="202"/>
      <c r="AQ17" s="223">
        <f>IF(AND($BD18=0,$BE18=0,$BF18=0),"",BD18)</f>
        <v>4</v>
      </c>
      <c r="AR17" s="214">
        <f>IF(AND($BD18=0,$BE18=0,$BF18=0),"",BE18)</f>
        <v>1</v>
      </c>
      <c r="AS17" s="214">
        <f>IF(AND($BD18=0,$BE18=0,$BF18=0),"",BF18)</f>
        <v>2</v>
      </c>
      <c r="AT17" s="216">
        <f>IF(AND($BD18=0,$BE18=0,$BF18=0),"",BG18+AZ18)</f>
        <v>13</v>
      </c>
      <c r="AU17" s="260">
        <f>IF(AND($BD18=0,$BE18=0,$BF18=0),"",BD20)</f>
        <v>19</v>
      </c>
      <c r="AV17" s="260">
        <f>IF(AND($BD18=0,$BE18=0,$BF18=0),"",BE20)</f>
        <v>19</v>
      </c>
      <c r="AW17" s="257">
        <f>IF(AND($BD18=0,$BE18=0,$BF18=0),"",BF20)</f>
        <v>0</v>
      </c>
      <c r="AX17" s="226">
        <f>IF(AND($BD18=0,$BE18=0,$BF18=0),"",RANK(BI19,BI$7:BI$35))</f>
        <v>4</v>
      </c>
      <c r="BD17" s="67" t="s">
        <v>92</v>
      </c>
      <c r="BE17" s="67" t="s">
        <v>93</v>
      </c>
      <c r="BF17" s="67" t="s">
        <v>94</v>
      </c>
      <c r="BG17" s="67" t="s">
        <v>95</v>
      </c>
      <c r="BH17" s="30"/>
      <c r="BI17" s="30"/>
      <c r="BJ17" s="30"/>
      <c r="BK17" s="62">
        <f>IF(D18&lt;&gt;"",D18,0)</f>
        <v>0</v>
      </c>
      <c r="BL17" s="62">
        <f>IF(I18&lt;&gt;"",I18,0)</f>
        <v>3</v>
      </c>
      <c r="BM17" s="62">
        <f>IF(N18&lt;&gt;"",N18,0)</f>
        <v>1</v>
      </c>
      <c r="BN17" s="62">
        <f>IF(S18&lt;&gt;"",S18,0)</f>
        <v>0</v>
      </c>
      <c r="BO17" s="62">
        <f>IF(X18&lt;&gt;"",X18,0)</f>
        <v>5</v>
      </c>
      <c r="BP17" s="62">
        <f>IF(AC18&lt;&gt;"",AC18,0)</f>
        <v>5</v>
      </c>
      <c r="BQ17" s="62">
        <f>IF(AH18&lt;&gt;"",AH18,0)</f>
        <v>2</v>
      </c>
      <c r="BR17" s="62">
        <f>IF(AM18&lt;&gt;"",AM18,0)</f>
        <v>3</v>
      </c>
    </row>
    <row r="18" spans="2:70" ht="24" customHeight="1">
      <c r="B18" s="231" t="str">
        <f>VLOOKUP(B17,'参加チーム'!$B$5:$G$73,IF($AQ$3=1,4,5),FALSE)</f>
        <v>BANFF</v>
      </c>
      <c r="C18" s="41" t="s">
        <v>84</v>
      </c>
      <c r="D18" s="42">
        <f>VLOOKUP("前"&amp;$B17&amp;E$39,'１部対戦表'!$S$1:$V$143,2,FALSE)</f>
        <v>0</v>
      </c>
      <c r="E18" s="42" t="str">
        <f>IF(D18&lt;&gt;"",IF(D18&gt;F18,"○",IF(D18&lt;F18,"●","△")),"-")</f>
        <v>●</v>
      </c>
      <c r="F18" s="42">
        <f>VLOOKUP("前"&amp;$B17&amp;E$39,'１部対戦表'!$S$1:$V$143,3,FALSE)</f>
        <v>7</v>
      </c>
      <c r="G18" s="43" t="s">
        <v>85</v>
      </c>
      <c r="H18" s="41" t="s">
        <v>84</v>
      </c>
      <c r="I18" s="42">
        <f>VLOOKUP("前"&amp;$B17&amp;J$39,'１部対戦表'!$S$1:$V$143,2,FALSE)</f>
        <v>3</v>
      </c>
      <c r="J18" s="42" t="str">
        <f>IF(I18&lt;&gt;"",IF(I18&gt;K18,"○",IF(I18&lt;K18,"●","△")),"-")</f>
        <v>●</v>
      </c>
      <c r="K18" s="42">
        <f>VLOOKUP("前"&amp;$B17&amp;J$39,'１部対戦表'!$S$1:$V$143,3,FALSE)</f>
        <v>4</v>
      </c>
      <c r="L18" s="43" t="s">
        <v>85</v>
      </c>
      <c r="M18" s="41" t="s">
        <v>84</v>
      </c>
      <c r="N18" s="42">
        <f>VLOOKUP("前"&amp;$B17&amp;O$39,'１部対戦表'!$S$1:$V$143,2,FALSE)</f>
        <v>1</v>
      </c>
      <c r="O18" s="42" t="str">
        <f>IF(N18&lt;&gt;"",IF(N18&gt;P18,"○",IF(N18&lt;P18,"●","△")),"-")</f>
        <v>△</v>
      </c>
      <c r="P18" s="42">
        <f>VLOOKUP("前"&amp;$B17&amp;O$39,'１部対戦表'!$S$1:$V$143,3,FALSE)</f>
        <v>1</v>
      </c>
      <c r="Q18" s="43" t="s">
        <v>85</v>
      </c>
      <c r="R18" s="236"/>
      <c r="S18" s="237"/>
      <c r="T18" s="237"/>
      <c r="U18" s="237"/>
      <c r="V18" s="238"/>
      <c r="W18" s="41" t="s">
        <v>84</v>
      </c>
      <c r="X18" s="42">
        <f>VLOOKUP("前"&amp;$B17&amp;Y$39,'１部対戦表'!$S$1:$V$143,2,FALSE)</f>
        <v>5</v>
      </c>
      <c r="Y18" s="42" t="str">
        <f>IF(X18&lt;&gt;"",IF(X18&gt;Z18,"○",IF(X18&lt;Z18,"●","△")),"-")</f>
        <v>○</v>
      </c>
      <c r="Z18" s="42">
        <f>VLOOKUP("前"&amp;$B17&amp;Y$39,'１部対戦表'!$S$1:$V$143,3,FALSE)</f>
        <v>4</v>
      </c>
      <c r="AA18" s="43" t="s">
        <v>85</v>
      </c>
      <c r="AB18" s="41" t="s">
        <v>84</v>
      </c>
      <c r="AC18" s="42">
        <f>VLOOKUP("前"&amp;$B17&amp;AD$39,'１部対戦表'!$S$1:$V$143,2,FALSE)</f>
        <v>5</v>
      </c>
      <c r="AD18" s="42" t="str">
        <f>IF(AC18&lt;&gt;"",IF(AC18&gt;AE18,"○",IF(AC18&lt;AE18,"●","△")),"-")</f>
        <v>○</v>
      </c>
      <c r="AE18" s="42">
        <f>VLOOKUP("前"&amp;$B17&amp;AD$39,'１部対戦表'!$S$1:$V$143,3,FALSE)</f>
        <v>3</v>
      </c>
      <c r="AF18" s="43" t="s">
        <v>85</v>
      </c>
      <c r="AG18" s="41" t="s">
        <v>84</v>
      </c>
      <c r="AH18" s="42">
        <f>VLOOKUP("前"&amp;$B17&amp;AI$39,'１部対戦表'!$S$1:$V$143,2,FALSE)</f>
        <v>2</v>
      </c>
      <c r="AI18" s="42" t="str">
        <f>IF(AH18&lt;&gt;"",IF(AH18&gt;AJ18,"○",IF(AH18&lt;AJ18,"●","△")),"-")</f>
        <v>○</v>
      </c>
      <c r="AJ18" s="42">
        <f>VLOOKUP("前"&amp;$B17&amp;AI$39,'１部対戦表'!$S$1:$V$143,3,FALSE)</f>
        <v>0</v>
      </c>
      <c r="AK18" s="43" t="s">
        <v>85</v>
      </c>
      <c r="AL18" s="41" t="s">
        <v>84</v>
      </c>
      <c r="AM18" s="42">
        <f>VLOOKUP("前"&amp;$B17&amp;AN$39,'１部対戦表'!$S$1:$V$143,2,FALSE)</f>
        <v>3</v>
      </c>
      <c r="AN18" s="42" t="str">
        <f>IF(AM18&lt;&gt;"",IF(AM18&gt;AO18,"○",IF(AM18&lt;AO18,"●","△")),"-")</f>
        <v>○</v>
      </c>
      <c r="AO18" s="42">
        <f>VLOOKUP("前"&amp;$B17&amp;AN$39,'１部対戦表'!$S$1:$V$143,3,FALSE)</f>
        <v>0</v>
      </c>
      <c r="AP18" s="43" t="s">
        <v>85</v>
      </c>
      <c r="AQ18" s="223"/>
      <c r="AR18" s="214"/>
      <c r="AS18" s="214"/>
      <c r="AT18" s="217"/>
      <c r="AU18" s="261"/>
      <c r="AV18" s="261"/>
      <c r="AW18" s="258"/>
      <c r="AX18" s="227"/>
      <c r="AZ18" s="263"/>
      <c r="BA18" s="61"/>
      <c r="BB18" s="274"/>
      <c r="BC18" s="61"/>
      <c r="BD18" s="32">
        <f>COUNTIF($C17:$AP20,"○")</f>
        <v>4</v>
      </c>
      <c r="BE18" s="32">
        <f>COUNTIF($C17:$AP20,"△")</f>
        <v>1</v>
      </c>
      <c r="BF18" s="32">
        <f>COUNTIF($C17:$AP20,"●")</f>
        <v>2</v>
      </c>
      <c r="BG18" s="67">
        <f>BD18*3+BE18</f>
        <v>13</v>
      </c>
      <c r="BH18" s="30"/>
      <c r="BI18" s="30"/>
      <c r="BJ18" s="30"/>
      <c r="BK18" s="63">
        <f>IF(F18&lt;&gt;"",F18,0)</f>
        <v>7</v>
      </c>
      <c r="BL18" s="63">
        <f>IF(K18&lt;&gt;"",K18,0)</f>
        <v>4</v>
      </c>
      <c r="BM18" s="63">
        <f>IF(P18&lt;&gt;"",P18,0)</f>
        <v>1</v>
      </c>
      <c r="BN18" s="63">
        <f>IF(U18&lt;&gt;"",U18,0)</f>
        <v>0</v>
      </c>
      <c r="BO18" s="63">
        <f>IF(Z18&lt;&gt;"",Z18,0)</f>
        <v>4</v>
      </c>
      <c r="BP18" s="63">
        <f>IF(AE18&lt;&gt;"",AE18,0)</f>
        <v>3</v>
      </c>
      <c r="BQ18" s="63">
        <f>IF(AJ18&lt;&gt;"",AJ18,0)</f>
        <v>0</v>
      </c>
      <c r="BR18" s="63">
        <f>IF(AO18&lt;&gt;"",AO18,0)</f>
        <v>0</v>
      </c>
    </row>
    <row r="19" spans="2:70" ht="24" customHeight="1" thickBot="1">
      <c r="B19" s="231"/>
      <c r="C19" s="230">
        <f>VLOOKUP("後"&amp;$B17&amp;E$39,'１部対戦表'!$S$1:$V$143,4,FALSE)</f>
        <v>40469</v>
      </c>
      <c r="D19" s="204"/>
      <c r="E19" s="204"/>
      <c r="F19" s="204"/>
      <c r="G19" s="205"/>
      <c r="H19" s="203">
        <f>VLOOKUP("後"&amp;$B17&amp;J$39,'１部対戦表'!$S$1:$V$143,4,FALSE)</f>
        <v>40511</v>
      </c>
      <c r="I19" s="204"/>
      <c r="J19" s="204"/>
      <c r="K19" s="204"/>
      <c r="L19" s="205"/>
      <c r="M19" s="203">
        <f>VLOOKUP("後"&amp;$B17&amp;O$39,'１部対戦表'!$S$1:$V$143,4,FALSE)</f>
        <v>40532</v>
      </c>
      <c r="N19" s="204"/>
      <c r="O19" s="204"/>
      <c r="P19" s="204"/>
      <c r="Q19" s="205"/>
      <c r="R19" s="236"/>
      <c r="S19" s="237"/>
      <c r="T19" s="237"/>
      <c r="U19" s="237"/>
      <c r="V19" s="238"/>
      <c r="W19" s="203">
        <f>VLOOKUP("後"&amp;$B17&amp;Y$39,'１部対戦表'!$S$1:$V$143,4,FALSE)</f>
        <v>40427</v>
      </c>
      <c r="X19" s="204"/>
      <c r="Y19" s="204"/>
      <c r="Z19" s="204"/>
      <c r="AA19" s="205"/>
      <c r="AB19" s="203">
        <f>VLOOKUP("後"&amp;$B17&amp;AD$39,'１部対戦表'!$S$1:$V$143,4,FALSE)</f>
        <v>40441</v>
      </c>
      <c r="AC19" s="204"/>
      <c r="AD19" s="204"/>
      <c r="AE19" s="204"/>
      <c r="AF19" s="205"/>
      <c r="AG19" s="203">
        <f>VLOOKUP("後"&amp;$B17&amp;AI$39,'１部対戦表'!$S$1:$V$143,4,FALSE)</f>
        <v>40455</v>
      </c>
      <c r="AH19" s="204"/>
      <c r="AI19" s="204"/>
      <c r="AJ19" s="204"/>
      <c r="AK19" s="205"/>
      <c r="AL19" s="254">
        <f>VLOOKUP("後"&amp;$B17&amp;AN$39,'１部対戦表'!$S$1:$V$143,4,FALSE)</f>
        <v>40462</v>
      </c>
      <c r="AM19" s="255"/>
      <c r="AN19" s="255"/>
      <c r="AO19" s="255"/>
      <c r="AP19" s="256"/>
      <c r="AQ19" s="223"/>
      <c r="AR19" s="214"/>
      <c r="AS19" s="214"/>
      <c r="AT19" s="217"/>
      <c r="AU19" s="261"/>
      <c r="AV19" s="261"/>
      <c r="AW19" s="258"/>
      <c r="AX19" s="227"/>
      <c r="AZ19" s="264"/>
      <c r="BA19" s="61"/>
      <c r="BB19" s="275"/>
      <c r="BC19" s="61"/>
      <c r="BD19" s="75" t="s">
        <v>96</v>
      </c>
      <c r="BE19" s="75" t="s">
        <v>97</v>
      </c>
      <c r="BF19" s="75" t="s">
        <v>98</v>
      </c>
      <c r="BG19" s="31"/>
      <c r="BH19" s="31" t="s">
        <v>104</v>
      </c>
      <c r="BI19" s="65">
        <f>IF(AND(BD18=0,BE18=0,BF18=0),0,AT17*1000+AW17+IF(BB18=$BD$4,100,0)+IF(BB18=$BF$4,-100,0))</f>
        <v>13000</v>
      </c>
      <c r="BJ19" s="66"/>
      <c r="BK19" s="63">
        <f>IF(D20&lt;&gt;"",D20,0)</f>
        <v>0</v>
      </c>
      <c r="BL19" s="63">
        <f>IF(I20&lt;&gt;"",I20,0)</f>
        <v>0</v>
      </c>
      <c r="BM19" s="63">
        <f>IF(N20&lt;&gt;"",N20,0)</f>
        <v>0</v>
      </c>
      <c r="BN19" s="63">
        <f>IF(S20&lt;&gt;"",S20,0)</f>
        <v>0</v>
      </c>
      <c r="BO19" s="63">
        <f>IF(X20&lt;&gt;"",X20,0)</f>
        <v>0</v>
      </c>
      <c r="BP19" s="63">
        <f>IF(AC20&lt;&gt;"",AC20,0)</f>
        <v>0</v>
      </c>
      <c r="BQ19" s="63">
        <f>IF(AH20&lt;&gt;"",AH20,0)</f>
        <v>0</v>
      </c>
      <c r="BR19" s="63">
        <f>IF(AM20&lt;&gt;"",AM20,0)</f>
        <v>0</v>
      </c>
    </row>
    <row r="20" spans="2:70" ht="24" customHeight="1">
      <c r="B20" s="232"/>
      <c r="C20" s="38" t="s">
        <v>84</v>
      </c>
      <c r="D20" s="39">
        <f>VLOOKUP("後"&amp;$B17&amp;E$39,'１部対戦表'!$S$1:$V$143,2,FALSE)</f>
      </c>
      <c r="E20" s="39">
        <f>IF(D20&lt;&gt;"",IF(D20&gt;F20,"○",IF(D20&lt;F20,"●","△")),"")</f>
      </c>
      <c r="F20" s="39">
        <f>VLOOKUP("後"&amp;$B17&amp;E$39,'１部対戦表'!$S$1:$V$143,3,FALSE)</f>
      </c>
      <c r="G20" s="40" t="s">
        <v>85</v>
      </c>
      <c r="H20" s="38" t="s">
        <v>84</v>
      </c>
      <c r="I20" s="39">
        <f>VLOOKUP("後"&amp;$B17&amp;J$39,'１部対戦表'!$S$1:$V$143,2,FALSE)</f>
      </c>
      <c r="J20" s="39">
        <f>IF(I20&lt;&gt;"",IF(I20&gt;K20,"○",IF(I20&lt;K20,"●","△")),"")</f>
      </c>
      <c r="K20" s="39">
        <f>VLOOKUP("後"&amp;$B17&amp;J$39,'１部対戦表'!$S$1:$V$143,3,FALSE)</f>
      </c>
      <c r="L20" s="40" t="s">
        <v>85</v>
      </c>
      <c r="M20" s="38" t="s">
        <v>84</v>
      </c>
      <c r="N20" s="39">
        <f>VLOOKUP("後"&amp;$B17&amp;O$39,'１部対戦表'!$S$1:$V$143,2,FALSE)</f>
      </c>
      <c r="O20" s="39">
        <f>IF(N20&lt;&gt;"",IF(N20&gt;P20,"○",IF(N20&lt;P20,"●","△")),"")</f>
      </c>
      <c r="P20" s="39">
        <f>VLOOKUP("後"&amp;$B17&amp;O$39,'１部対戦表'!$S$1:$V$143,3,FALSE)</f>
      </c>
      <c r="Q20" s="40" t="s">
        <v>85</v>
      </c>
      <c r="R20" s="239"/>
      <c r="S20" s="240"/>
      <c r="T20" s="240"/>
      <c r="U20" s="240"/>
      <c r="V20" s="241"/>
      <c r="W20" s="38" t="s">
        <v>84</v>
      </c>
      <c r="X20" s="39">
        <f>VLOOKUP("後"&amp;$B17&amp;Y$39,'１部対戦表'!$S$1:$V$143,2,FALSE)</f>
      </c>
      <c r="Y20" s="39">
        <f>IF(X20&lt;&gt;"",IF(X20&gt;Z20,"○",IF(X20&lt;Z20,"●","△")),"")</f>
      </c>
      <c r="Z20" s="39">
        <f>VLOOKUP("後"&amp;$B17&amp;Y$39,'１部対戦表'!$S$1:$V$143,3,FALSE)</f>
      </c>
      <c r="AA20" s="40" t="s">
        <v>85</v>
      </c>
      <c r="AB20" s="38" t="s">
        <v>84</v>
      </c>
      <c r="AC20" s="39">
        <f>VLOOKUP("後"&amp;$B17&amp;AD$39,'１部対戦表'!$S$1:$V$143,2,FALSE)</f>
      </c>
      <c r="AD20" s="39">
        <f>IF(AC20&lt;&gt;"",IF(AC20&gt;AE20,"○",IF(AC20&lt;AE20,"●","△")),"")</f>
      </c>
      <c r="AE20" s="39">
        <f>VLOOKUP("後"&amp;$B17&amp;AD$39,'１部対戦表'!$S$1:$V$143,3,FALSE)</f>
      </c>
      <c r="AF20" s="40" t="s">
        <v>85</v>
      </c>
      <c r="AG20" s="38" t="s">
        <v>84</v>
      </c>
      <c r="AH20" s="39">
        <f>VLOOKUP("後"&amp;$B17&amp;AI$39,'１部対戦表'!$S$1:$V$143,2,FALSE)</f>
      </c>
      <c r="AI20" s="39">
        <f>IF(AH20&lt;&gt;"",IF(AH20&gt;AJ20,"○",IF(AH20&lt;AJ20,"●","△")),"")</f>
      </c>
      <c r="AJ20" s="39">
        <f>VLOOKUP("後"&amp;$B17&amp;AI$39,'１部対戦表'!$S$1:$V$143,3,FALSE)</f>
      </c>
      <c r="AK20" s="40" t="s">
        <v>85</v>
      </c>
      <c r="AL20" s="38" t="s">
        <v>84</v>
      </c>
      <c r="AM20" s="39">
        <f>VLOOKUP("後"&amp;$B17&amp;AN$39,'１部対戦表'!$S$1:$V$143,2,FALSE)</f>
      </c>
      <c r="AN20" s="39">
        <f>IF(AM20&lt;&gt;"",IF(AM20&gt;AO20,"○",IF(AM20&lt;AO20,"●","△")),"")</f>
      </c>
      <c r="AO20" s="39">
        <f>VLOOKUP("後"&amp;$B17&amp;AN$39,'１部対戦表'!$S$1:$V$143,3,FALSE)</f>
      </c>
      <c r="AP20" s="40" t="s">
        <v>85</v>
      </c>
      <c r="AQ20" s="224"/>
      <c r="AR20" s="225"/>
      <c r="AS20" s="225"/>
      <c r="AT20" s="229"/>
      <c r="AU20" s="262"/>
      <c r="AV20" s="262"/>
      <c r="AW20" s="259"/>
      <c r="AX20" s="228"/>
      <c r="BD20" s="75">
        <f>SUM(BK17:BR17)+SUM(BK19:BR19)</f>
        <v>19</v>
      </c>
      <c r="BE20" s="75">
        <f>SUM(BK18:BR18)+SUM(BK20:BR20)</f>
        <v>19</v>
      </c>
      <c r="BF20" s="57">
        <f>+BD20-BE20</f>
        <v>0</v>
      </c>
      <c r="BG20" s="31"/>
      <c r="BH20" s="31"/>
      <c r="BI20" s="31"/>
      <c r="BJ20" s="31"/>
      <c r="BK20" s="64">
        <f>IF(F20&lt;&gt;"",F20,0)</f>
        <v>0</v>
      </c>
      <c r="BL20" s="64">
        <f>IF(K20&lt;&gt;"",K20,0)</f>
        <v>0</v>
      </c>
      <c r="BM20" s="64">
        <f>IF(P20&lt;&gt;"",P20,0)</f>
        <v>0</v>
      </c>
      <c r="BN20" s="64">
        <f>IF(U20&lt;&gt;"",U20,0)</f>
        <v>0</v>
      </c>
      <c r="BO20" s="64">
        <f>IF(Z20&lt;&gt;"",Z20,0)</f>
        <v>0</v>
      </c>
      <c r="BP20" s="64">
        <f>IF(AE20&lt;&gt;"",AE20,0)</f>
        <v>0</v>
      </c>
      <c r="BQ20" s="64">
        <f>IF(AJ20&lt;&gt;"",AJ20,0)</f>
        <v>0</v>
      </c>
      <c r="BR20" s="64">
        <f>IF(AO20&lt;&gt;"",AO20,0)</f>
        <v>0</v>
      </c>
    </row>
    <row r="21" spans="2:70" ht="24" customHeight="1" thickBot="1">
      <c r="B21" s="69" t="str">
        <f>+AX67</f>
        <v>Ｄ</v>
      </c>
      <c r="C21" s="200">
        <f>VLOOKUP("前"&amp;$B21&amp;E$39,'１部対戦表'!$S$1:$V$143,4,FALSE)</f>
        <v>40379</v>
      </c>
      <c r="D21" s="201"/>
      <c r="E21" s="201"/>
      <c r="F21" s="201"/>
      <c r="G21" s="202"/>
      <c r="H21" s="200">
        <f>VLOOKUP("前"&amp;$B21&amp;J$39,'１部対戦表'!$S$1:$V$143,4,FALSE)</f>
        <v>40343</v>
      </c>
      <c r="I21" s="201"/>
      <c r="J21" s="201"/>
      <c r="K21" s="201"/>
      <c r="L21" s="202"/>
      <c r="M21" s="200">
        <f>VLOOKUP("前"&amp;$B21&amp;O$39,'１部対戦表'!$S$1:$V$143,4,FALSE)</f>
        <v>40350</v>
      </c>
      <c r="N21" s="201"/>
      <c r="O21" s="201"/>
      <c r="P21" s="201"/>
      <c r="Q21" s="202"/>
      <c r="R21" s="200">
        <f>VLOOKUP("前"&amp;$B21&amp;T$39,'１部対戦表'!$S$1:$V$143,4,FALSE)</f>
        <v>40392</v>
      </c>
      <c r="S21" s="201"/>
      <c r="T21" s="201"/>
      <c r="U21" s="201"/>
      <c r="V21" s="202"/>
      <c r="W21" s="233"/>
      <c r="X21" s="234"/>
      <c r="Y21" s="234"/>
      <c r="Z21" s="234"/>
      <c r="AA21" s="235"/>
      <c r="AB21" s="200">
        <f>VLOOKUP("前"&amp;$B21&amp;AD$39,'１部対戦表'!$S$1:$V$143,4,FALSE)</f>
        <v>40315</v>
      </c>
      <c r="AC21" s="201"/>
      <c r="AD21" s="201"/>
      <c r="AE21" s="201"/>
      <c r="AF21" s="202"/>
      <c r="AG21" s="200">
        <f>VLOOKUP("前"&amp;$B21&amp;AI$39,'１部対戦表'!$S$1:$V$143,4,FALSE)</f>
        <v>40364</v>
      </c>
      <c r="AH21" s="201"/>
      <c r="AI21" s="201"/>
      <c r="AJ21" s="201"/>
      <c r="AK21" s="202"/>
      <c r="AL21" s="200">
        <f>VLOOKUP("前"&amp;$B21&amp;AN$39,'１部対戦表'!$S$1:$V$143,4,FALSE)</f>
        <v>40399</v>
      </c>
      <c r="AM21" s="201"/>
      <c r="AN21" s="201"/>
      <c r="AO21" s="201"/>
      <c r="AP21" s="202"/>
      <c r="AQ21" s="223">
        <f>IF(AND($BD22=0,$BE22=0,$BF22=0),"",BD22)</f>
        <v>2</v>
      </c>
      <c r="AR21" s="214">
        <f>IF(AND($BD22=0,$BE22=0,$BF22=0),"",BE22)</f>
        <v>1</v>
      </c>
      <c r="AS21" s="214">
        <f>IF(AND($BD22=0,$BE22=0,$BF22=0),"",BF22)</f>
        <v>4</v>
      </c>
      <c r="AT21" s="216">
        <f>IF(AND($BD22=0,$BE22=0,$BF22=0),"",BG22+AZ22)</f>
        <v>7</v>
      </c>
      <c r="AU21" s="212">
        <f>IF(AND($BD22=0,$BE22=0,$BF22=0),"",BD24)</f>
        <v>19</v>
      </c>
      <c r="AV21" s="212">
        <f>IF(AND($BD22=0,$BE22=0,$BF22=0),"",BE24)</f>
        <v>33</v>
      </c>
      <c r="AW21" s="213">
        <f>IF(AND($BD22=0,$BE22=0,$BF22=0),"",BF24)</f>
        <v>-14</v>
      </c>
      <c r="AX21" s="226">
        <f>IF(AND($BD22=0,$BE22=0,$BF22=0),"",RANK(BI23,BI$7:BI$35))</f>
        <v>5</v>
      </c>
      <c r="BD21" s="67" t="s">
        <v>92</v>
      </c>
      <c r="BE21" s="67" t="s">
        <v>93</v>
      </c>
      <c r="BF21" s="67" t="s">
        <v>94</v>
      </c>
      <c r="BG21" s="67" t="s">
        <v>95</v>
      </c>
      <c r="BH21" s="30"/>
      <c r="BI21" s="30"/>
      <c r="BJ21" s="30"/>
      <c r="BK21" s="62">
        <f>IF(D22&lt;&gt;"",D22,0)</f>
        <v>2</v>
      </c>
      <c r="BL21" s="62">
        <f>IF(I22&lt;&gt;"",I22,0)</f>
        <v>2</v>
      </c>
      <c r="BM21" s="62">
        <f>IF(N22&lt;&gt;"",N22,0)</f>
        <v>3</v>
      </c>
      <c r="BN21" s="62">
        <f>IF(S22&lt;&gt;"",S22,0)</f>
        <v>4</v>
      </c>
      <c r="BO21" s="62">
        <f>IF(X22&lt;&gt;"",X22,0)</f>
        <v>0</v>
      </c>
      <c r="BP21" s="62">
        <f>IF(AC22&lt;&gt;"",AC22,0)</f>
        <v>2</v>
      </c>
      <c r="BQ21" s="62">
        <f>IF(AH22&lt;&gt;"",AH22,0)</f>
        <v>3</v>
      </c>
      <c r="BR21" s="62">
        <f>IF(AM22&lt;&gt;"",AM22,0)</f>
        <v>3</v>
      </c>
    </row>
    <row r="22" spans="2:70" ht="24" customHeight="1">
      <c r="B22" s="231" t="str">
        <f>VLOOKUP(B21,'参加チーム'!$B$5:$G$73,IF($AQ$3=1,4,5),FALSE)</f>
        <v>malva</v>
      </c>
      <c r="C22" s="41" t="s">
        <v>84</v>
      </c>
      <c r="D22" s="42">
        <f>VLOOKUP("前"&amp;$B21&amp;E$39,'１部対戦表'!$S$1:$V$143,2,FALSE)</f>
        <v>2</v>
      </c>
      <c r="E22" s="42" t="str">
        <f>IF(D22&lt;&gt;"",IF(D22&gt;F22,"○",IF(D22&lt;F22,"●","△")),"-")</f>
        <v>●</v>
      </c>
      <c r="F22" s="42">
        <f>VLOOKUP("前"&amp;$B21&amp;E$39,'１部対戦表'!$S$1:$V$143,3,FALSE)</f>
        <v>5</v>
      </c>
      <c r="G22" s="43" t="s">
        <v>85</v>
      </c>
      <c r="H22" s="41" t="s">
        <v>84</v>
      </c>
      <c r="I22" s="42">
        <f>VLOOKUP("前"&amp;$B21&amp;J$39,'１部対戦表'!$S$1:$V$143,2,FALSE)</f>
        <v>2</v>
      </c>
      <c r="J22" s="42" t="str">
        <f>IF(I22&lt;&gt;"",IF(I22&gt;K22,"○",IF(I22&lt;K22,"●","△")),"-")</f>
        <v>●</v>
      </c>
      <c r="K22" s="42">
        <f>VLOOKUP("前"&amp;$B21&amp;J$39,'１部対戦表'!$S$1:$V$143,3,FALSE)</f>
        <v>6</v>
      </c>
      <c r="L22" s="43" t="s">
        <v>85</v>
      </c>
      <c r="M22" s="41" t="s">
        <v>84</v>
      </c>
      <c r="N22" s="42">
        <f>VLOOKUP("前"&amp;$B21&amp;O$39,'１部対戦表'!$S$1:$V$143,2,FALSE)</f>
        <v>3</v>
      </c>
      <c r="O22" s="42" t="str">
        <f>IF(N22&lt;&gt;"",IF(N22&gt;P22,"○",IF(N22&lt;P22,"●","△")),"-")</f>
        <v>●</v>
      </c>
      <c r="P22" s="42">
        <f>VLOOKUP("前"&amp;$B21&amp;O$39,'１部対戦表'!$S$1:$V$143,3,FALSE)</f>
        <v>12</v>
      </c>
      <c r="Q22" s="43" t="s">
        <v>85</v>
      </c>
      <c r="R22" s="41" t="s">
        <v>84</v>
      </c>
      <c r="S22" s="42">
        <f>VLOOKUP("前"&amp;$B21&amp;T$39,'１部対戦表'!$S$1:$V$143,2,FALSE)</f>
        <v>4</v>
      </c>
      <c r="T22" s="42" t="str">
        <f>IF(S22&lt;&gt;"",IF(S22&gt;U22,"○",IF(S22&lt;U22,"●","△")),"-")</f>
        <v>●</v>
      </c>
      <c r="U22" s="42">
        <f>VLOOKUP("前"&amp;$B21&amp;T$39,'１部対戦表'!$S$1:$V$143,3,FALSE)</f>
        <v>5</v>
      </c>
      <c r="V22" s="43" t="s">
        <v>85</v>
      </c>
      <c r="W22" s="236"/>
      <c r="X22" s="237"/>
      <c r="Y22" s="237"/>
      <c r="Z22" s="237"/>
      <c r="AA22" s="238"/>
      <c r="AB22" s="41" t="s">
        <v>84</v>
      </c>
      <c r="AC22" s="42">
        <f>VLOOKUP("前"&amp;$B21&amp;AD$39,'１部対戦表'!$S$1:$V$143,2,FALSE)</f>
        <v>2</v>
      </c>
      <c r="AD22" s="42" t="str">
        <f>IF(AC22&lt;&gt;"",IF(AC22&gt;AE22,"○",IF(AC22&lt;AE22,"●","△")),"-")</f>
        <v>△</v>
      </c>
      <c r="AE22" s="42">
        <f>VLOOKUP("前"&amp;$B21&amp;AD$39,'１部対戦表'!$S$1:$V$143,3,FALSE)</f>
        <v>2</v>
      </c>
      <c r="AF22" s="43" t="s">
        <v>85</v>
      </c>
      <c r="AG22" s="41" t="s">
        <v>84</v>
      </c>
      <c r="AH22" s="42">
        <f>VLOOKUP("前"&amp;$B21&amp;AI$39,'１部対戦表'!$S$1:$V$143,2,FALSE)</f>
        <v>3</v>
      </c>
      <c r="AI22" s="42" t="str">
        <f>IF(AH22&lt;&gt;"",IF(AH22&gt;AJ22,"○",IF(AH22&lt;AJ22,"●","△")),"-")</f>
        <v>○</v>
      </c>
      <c r="AJ22" s="42">
        <f>VLOOKUP("前"&amp;$B21&amp;AI$39,'１部対戦表'!$S$1:$V$143,3,FALSE)</f>
        <v>1</v>
      </c>
      <c r="AK22" s="43" t="s">
        <v>85</v>
      </c>
      <c r="AL22" s="41" t="s">
        <v>84</v>
      </c>
      <c r="AM22" s="42">
        <f>VLOOKUP("前"&amp;$B21&amp;AN$39,'１部対戦表'!$S$1:$V$143,2,FALSE)</f>
        <v>3</v>
      </c>
      <c r="AN22" s="42" t="str">
        <f>IF(AM22&lt;&gt;"",IF(AM22&gt;AO22,"○",IF(AM22&lt;AO22,"●","△")),"-")</f>
        <v>○</v>
      </c>
      <c r="AO22" s="42">
        <f>VLOOKUP("前"&amp;$B21&amp;AN$39,'１部対戦表'!$S$1:$V$143,3,FALSE)</f>
        <v>2</v>
      </c>
      <c r="AP22" s="43" t="s">
        <v>85</v>
      </c>
      <c r="AQ22" s="223"/>
      <c r="AR22" s="214"/>
      <c r="AS22" s="214"/>
      <c r="AT22" s="217"/>
      <c r="AU22" s="212"/>
      <c r="AV22" s="212"/>
      <c r="AW22" s="213"/>
      <c r="AX22" s="227"/>
      <c r="AZ22" s="263"/>
      <c r="BA22" s="61"/>
      <c r="BB22" s="274"/>
      <c r="BC22" s="61"/>
      <c r="BD22" s="32">
        <f>COUNTIF($C21:$AP24,"○")</f>
        <v>2</v>
      </c>
      <c r="BE22" s="32">
        <f>COUNTIF($C21:$AP24,"△")</f>
        <v>1</v>
      </c>
      <c r="BF22" s="32">
        <f>COUNTIF($C21:$AP24,"●")</f>
        <v>4</v>
      </c>
      <c r="BG22" s="67">
        <f>BD22*3+BE22</f>
        <v>7</v>
      </c>
      <c r="BH22" s="30"/>
      <c r="BI22" s="30"/>
      <c r="BJ22" s="30"/>
      <c r="BK22" s="63">
        <f>IF(F22&lt;&gt;"",F22,0)</f>
        <v>5</v>
      </c>
      <c r="BL22" s="63">
        <f>IF(K22&lt;&gt;"",K22,0)</f>
        <v>6</v>
      </c>
      <c r="BM22" s="63">
        <f>IF(P22&lt;&gt;"",P22,0)</f>
        <v>12</v>
      </c>
      <c r="BN22" s="63">
        <f>IF(U22&lt;&gt;"",U22,0)</f>
        <v>5</v>
      </c>
      <c r="BO22" s="63">
        <f>IF(Z22&lt;&gt;"",Z22,0)</f>
        <v>0</v>
      </c>
      <c r="BP22" s="63">
        <f>IF(AE22&lt;&gt;"",AE22,0)</f>
        <v>2</v>
      </c>
      <c r="BQ22" s="63">
        <f>IF(AJ22&lt;&gt;"",AJ22,0)</f>
        <v>1</v>
      </c>
      <c r="BR22" s="63">
        <f>IF(AO22&lt;&gt;"",AO22,0)</f>
        <v>2</v>
      </c>
    </row>
    <row r="23" spans="2:70" ht="24" customHeight="1" thickBot="1">
      <c r="B23" s="231"/>
      <c r="C23" s="230">
        <f>VLOOKUP("後"&amp;$B21&amp;E$39,'１部対戦表'!$S$1:$V$143,4,FALSE)</f>
        <v>40462</v>
      </c>
      <c r="D23" s="204"/>
      <c r="E23" s="204"/>
      <c r="F23" s="204"/>
      <c r="G23" s="205"/>
      <c r="H23" s="203">
        <f>VLOOKUP("後"&amp;$B21&amp;J$39,'１部対戦表'!$S$1:$V$143,4,FALSE)</f>
        <v>40455</v>
      </c>
      <c r="I23" s="204"/>
      <c r="J23" s="204"/>
      <c r="K23" s="204"/>
      <c r="L23" s="205"/>
      <c r="M23" s="203">
        <f>VLOOKUP("後"&amp;$B21&amp;O$39,'１部対戦表'!$S$1:$V$143,4,FALSE)</f>
        <v>40441</v>
      </c>
      <c r="N23" s="204"/>
      <c r="O23" s="204"/>
      <c r="P23" s="204"/>
      <c r="Q23" s="205"/>
      <c r="R23" s="203">
        <f>VLOOKUP("後"&amp;$B21&amp;T$39,'１部対戦表'!$S$1:$V$143,4,FALSE)</f>
        <v>40427</v>
      </c>
      <c r="S23" s="204"/>
      <c r="T23" s="204"/>
      <c r="U23" s="204"/>
      <c r="V23" s="205"/>
      <c r="W23" s="236"/>
      <c r="X23" s="237"/>
      <c r="Y23" s="237"/>
      <c r="Z23" s="237"/>
      <c r="AA23" s="238"/>
      <c r="AB23" s="203">
        <f>VLOOKUP("後"&amp;$B21&amp;AD$39,'１部対戦表'!$S$1:$V$143,4,FALSE)</f>
        <v>40532</v>
      </c>
      <c r="AC23" s="204"/>
      <c r="AD23" s="204"/>
      <c r="AE23" s="204"/>
      <c r="AF23" s="205"/>
      <c r="AG23" s="203">
        <f>VLOOKUP("後"&amp;$B21&amp;AI$39,'１部対戦表'!$S$1:$V$143,4,FALSE)</f>
        <v>40511</v>
      </c>
      <c r="AH23" s="204"/>
      <c r="AI23" s="204"/>
      <c r="AJ23" s="204"/>
      <c r="AK23" s="205"/>
      <c r="AL23" s="254">
        <f>VLOOKUP("後"&amp;$B21&amp;AN$39,'１部対戦表'!$S$1:$V$143,4,FALSE)</f>
        <v>40469</v>
      </c>
      <c r="AM23" s="255"/>
      <c r="AN23" s="255"/>
      <c r="AO23" s="255"/>
      <c r="AP23" s="256"/>
      <c r="AQ23" s="223"/>
      <c r="AR23" s="214"/>
      <c r="AS23" s="214"/>
      <c r="AT23" s="217"/>
      <c r="AU23" s="212"/>
      <c r="AV23" s="212"/>
      <c r="AW23" s="213"/>
      <c r="AX23" s="227"/>
      <c r="AZ23" s="264"/>
      <c r="BA23" s="61"/>
      <c r="BB23" s="275"/>
      <c r="BC23" s="61"/>
      <c r="BD23" s="75" t="s">
        <v>96</v>
      </c>
      <c r="BE23" s="75" t="s">
        <v>97</v>
      </c>
      <c r="BF23" s="75" t="s">
        <v>98</v>
      </c>
      <c r="BG23" s="31"/>
      <c r="BH23" s="31" t="s">
        <v>104</v>
      </c>
      <c r="BI23" s="65">
        <f>IF(AND(BD22=0,BE22=0,BF22=0),0,+AT21*1000+AW21)</f>
        <v>6986</v>
      </c>
      <c r="BJ23" s="66"/>
      <c r="BK23" s="63">
        <f>IF(D24&lt;&gt;"",D24,0)</f>
        <v>0</v>
      </c>
      <c r="BL23" s="63">
        <f>IF(I24&lt;&gt;"",I24,0)</f>
        <v>0</v>
      </c>
      <c r="BM23" s="63">
        <f>IF(N24&lt;&gt;"",N24,0)</f>
        <v>0</v>
      </c>
      <c r="BN23" s="63">
        <f>IF(S24&lt;&gt;"",S24,0)</f>
        <v>0</v>
      </c>
      <c r="BO23" s="63">
        <f>IF(X24&lt;&gt;"",X24,0)</f>
        <v>0</v>
      </c>
      <c r="BP23" s="63">
        <f>IF(AC24&lt;&gt;"",AC24,0)</f>
        <v>0</v>
      </c>
      <c r="BQ23" s="63">
        <f>IF(AH24&lt;&gt;"",AH24,0)</f>
        <v>0</v>
      </c>
      <c r="BR23" s="63">
        <f>IF(AM24&lt;&gt;"",AM24,0)</f>
        <v>0</v>
      </c>
    </row>
    <row r="24" spans="2:70" ht="24" customHeight="1">
      <c r="B24" s="232"/>
      <c r="C24" s="38" t="s">
        <v>84</v>
      </c>
      <c r="D24" s="39">
        <f>VLOOKUP("後"&amp;$B21&amp;E$39,'１部対戦表'!$S$1:$V$143,2,FALSE)</f>
      </c>
      <c r="E24" s="39">
        <f>IF(D24&lt;&gt;"",IF(D24&gt;F24,"○",IF(D24&lt;F24,"●","△")),"")</f>
      </c>
      <c r="F24" s="39">
        <f>VLOOKUP("後"&amp;$B21&amp;E$39,'１部対戦表'!$S$1:$V$143,3,FALSE)</f>
      </c>
      <c r="G24" s="40" t="s">
        <v>85</v>
      </c>
      <c r="H24" s="38" t="s">
        <v>84</v>
      </c>
      <c r="I24" s="39">
        <f>VLOOKUP("後"&amp;$B21&amp;J$39,'１部対戦表'!$S$1:$V$143,2,FALSE)</f>
      </c>
      <c r="J24" s="39">
        <f>IF(I24&lt;&gt;"",IF(I24&gt;K24,"○",IF(I24&lt;K24,"●","△")),"")</f>
      </c>
      <c r="K24" s="39">
        <f>VLOOKUP("後"&amp;$B21&amp;J$39,'１部対戦表'!$S$1:$V$143,3,FALSE)</f>
      </c>
      <c r="L24" s="40" t="s">
        <v>85</v>
      </c>
      <c r="M24" s="38" t="s">
        <v>84</v>
      </c>
      <c r="N24" s="39">
        <f>VLOOKUP("後"&amp;$B21&amp;O$39,'１部対戦表'!$S$1:$V$143,2,FALSE)</f>
      </c>
      <c r="O24" s="39">
        <f>IF(N24&lt;&gt;"",IF(N24&gt;P24,"○",IF(N24&lt;P24,"●","△")),"")</f>
      </c>
      <c r="P24" s="39">
        <f>VLOOKUP("後"&amp;$B21&amp;O$39,'１部対戦表'!$S$1:$V$143,3,FALSE)</f>
      </c>
      <c r="Q24" s="40" t="s">
        <v>85</v>
      </c>
      <c r="R24" s="38" t="s">
        <v>84</v>
      </c>
      <c r="S24" s="39">
        <f>VLOOKUP("後"&amp;$B21&amp;T$39,'１部対戦表'!$S$1:$V$143,2,FALSE)</f>
      </c>
      <c r="T24" s="39">
        <f>IF(S24&lt;&gt;"",IF(S24&gt;U24,"○",IF(S24&lt;U24,"●","△")),"")</f>
      </c>
      <c r="U24" s="39">
        <f>VLOOKUP("後"&amp;$B21&amp;T$39,'１部対戦表'!$S$1:$V$143,3,FALSE)</f>
      </c>
      <c r="V24" s="40" t="s">
        <v>85</v>
      </c>
      <c r="W24" s="239"/>
      <c r="X24" s="240"/>
      <c r="Y24" s="240"/>
      <c r="Z24" s="240"/>
      <c r="AA24" s="241"/>
      <c r="AB24" s="38" t="s">
        <v>84</v>
      </c>
      <c r="AC24" s="39">
        <f>VLOOKUP("後"&amp;$B21&amp;AD$39,'１部対戦表'!$S$1:$V$143,2,FALSE)</f>
      </c>
      <c r="AD24" s="39">
        <f>IF(AC24&lt;&gt;"",IF(AC24&gt;AE24,"○",IF(AC24&lt;AE24,"●","△")),"")</f>
      </c>
      <c r="AE24" s="39">
        <f>VLOOKUP("後"&amp;$B21&amp;AD$39,'１部対戦表'!$S$1:$V$143,3,FALSE)</f>
      </c>
      <c r="AF24" s="40" t="s">
        <v>85</v>
      </c>
      <c r="AG24" s="38" t="s">
        <v>84</v>
      </c>
      <c r="AH24" s="39">
        <f>VLOOKUP("後"&amp;$B21&amp;AI$39,'１部対戦表'!$S$1:$V$143,2,FALSE)</f>
      </c>
      <c r="AI24" s="39">
        <f>IF(AH24&lt;&gt;"",IF(AH24&gt;AJ24,"○",IF(AH24&lt;AJ24,"●","△")),"")</f>
      </c>
      <c r="AJ24" s="39">
        <f>VLOOKUP("後"&amp;$B21&amp;AI$39,'１部対戦表'!$S$1:$V$143,3,FALSE)</f>
      </c>
      <c r="AK24" s="40" t="s">
        <v>85</v>
      </c>
      <c r="AL24" s="38" t="s">
        <v>84</v>
      </c>
      <c r="AM24" s="39">
        <f>VLOOKUP("後"&amp;$B21&amp;AN$39,'１部対戦表'!$S$1:$V$143,2,FALSE)</f>
      </c>
      <c r="AN24" s="39">
        <f>IF(AM24&lt;&gt;"",IF(AM24&gt;AO24,"○",IF(AM24&lt;AO24,"●","△")),"")</f>
      </c>
      <c r="AO24" s="39">
        <f>VLOOKUP("後"&amp;$B21&amp;AN$39,'１部対戦表'!$S$1:$V$143,3,FALSE)</f>
      </c>
      <c r="AP24" s="40" t="s">
        <v>85</v>
      </c>
      <c r="AQ24" s="224"/>
      <c r="AR24" s="225"/>
      <c r="AS24" s="225"/>
      <c r="AT24" s="229"/>
      <c r="AU24" s="212"/>
      <c r="AV24" s="212"/>
      <c r="AW24" s="213"/>
      <c r="AX24" s="228"/>
      <c r="BD24" s="75">
        <f>SUM(BK21:BR21)+SUM(BK23:BR23)</f>
        <v>19</v>
      </c>
      <c r="BE24" s="75">
        <f>SUM(BK22:BR22)+SUM(BK24:BR24)</f>
        <v>33</v>
      </c>
      <c r="BF24" s="57">
        <f>+BD24-BE24</f>
        <v>-14</v>
      </c>
      <c r="BG24" s="31"/>
      <c r="BH24" s="31"/>
      <c r="BI24" s="31"/>
      <c r="BJ24" s="31"/>
      <c r="BK24" s="64">
        <f>IF(F24&lt;&gt;"",F24,0)</f>
        <v>0</v>
      </c>
      <c r="BL24" s="64">
        <f>IF(K24&lt;&gt;"",K24,0)</f>
        <v>0</v>
      </c>
      <c r="BM24" s="64">
        <f>IF(P24&lt;&gt;"",P24,0)</f>
        <v>0</v>
      </c>
      <c r="BN24" s="64">
        <f>IF(U24&lt;&gt;"",U24,0)</f>
        <v>0</v>
      </c>
      <c r="BO24" s="64">
        <f>IF(Z24&lt;&gt;"",Z24,0)</f>
        <v>0</v>
      </c>
      <c r="BP24" s="64">
        <f>IF(AE24&lt;&gt;"",AE24,0)</f>
        <v>0</v>
      </c>
      <c r="BQ24" s="64">
        <f>IF(AJ24&lt;&gt;"",AJ24,0)</f>
        <v>0</v>
      </c>
      <c r="BR24" s="64">
        <f>IF(AO24&lt;&gt;"",AO24,0)</f>
        <v>0</v>
      </c>
    </row>
    <row r="25" spans="2:70" ht="24" customHeight="1" thickBot="1">
      <c r="B25" s="69" t="str">
        <f>+AX68</f>
        <v>Ｅ</v>
      </c>
      <c r="C25" s="200">
        <f>VLOOKUP("前"&amp;$B25&amp;E$39,'１部対戦表'!$S$1:$V$143,4,FALSE)</f>
        <v>40350</v>
      </c>
      <c r="D25" s="201"/>
      <c r="E25" s="201"/>
      <c r="F25" s="201"/>
      <c r="G25" s="202"/>
      <c r="H25" s="200">
        <f>VLOOKUP("前"&amp;$B25&amp;J$39,'１部対戦表'!$S$1:$V$143,4,FALSE)</f>
        <v>40399</v>
      </c>
      <c r="I25" s="201"/>
      <c r="J25" s="201"/>
      <c r="K25" s="201"/>
      <c r="L25" s="202"/>
      <c r="M25" s="200">
        <f>VLOOKUP("前"&amp;$B25&amp;O$39,'１部対戦表'!$S$1:$V$143,4,FALSE)</f>
        <v>40392</v>
      </c>
      <c r="N25" s="201"/>
      <c r="O25" s="201"/>
      <c r="P25" s="201"/>
      <c r="Q25" s="202"/>
      <c r="R25" s="200">
        <f>VLOOKUP("前"&amp;$B25&amp;T$39,'１部対戦表'!$S$1:$V$143,4,FALSE)</f>
        <v>40364</v>
      </c>
      <c r="S25" s="201"/>
      <c r="T25" s="201"/>
      <c r="U25" s="201"/>
      <c r="V25" s="202"/>
      <c r="W25" s="200">
        <f>VLOOKUP("前"&amp;$B25&amp;Y$39,'１部対戦表'!$S$1:$V$143,4,FALSE)</f>
        <v>40315</v>
      </c>
      <c r="X25" s="201"/>
      <c r="Y25" s="201"/>
      <c r="Z25" s="201"/>
      <c r="AA25" s="202"/>
      <c r="AB25" s="233"/>
      <c r="AC25" s="234"/>
      <c r="AD25" s="234"/>
      <c r="AE25" s="234"/>
      <c r="AF25" s="235"/>
      <c r="AG25" s="200">
        <f>VLOOKUP("前"&amp;$B25&amp;AI$39,'１部対戦表'!$S$1:$V$143,4,FALSE)</f>
        <v>40343</v>
      </c>
      <c r="AH25" s="201"/>
      <c r="AI25" s="201"/>
      <c r="AJ25" s="201"/>
      <c r="AK25" s="202"/>
      <c r="AL25" s="200">
        <f>VLOOKUP("前"&amp;$B25&amp;AN$39,'１部対戦表'!$S$1:$V$143,4,FALSE)</f>
        <v>40379</v>
      </c>
      <c r="AM25" s="201"/>
      <c r="AN25" s="201"/>
      <c r="AO25" s="201"/>
      <c r="AP25" s="202"/>
      <c r="AQ25" s="223">
        <f>IF(AND($BD26=0,$BE26=0,$BF26=0),"",BD26)</f>
        <v>1</v>
      </c>
      <c r="AR25" s="214">
        <f>IF(AND($BD26=0,$BE26=0,$BF26=0),"",BE26)</f>
        <v>3</v>
      </c>
      <c r="AS25" s="214">
        <f>IF(AND($BD26=0,$BE26=0,$BF26=0),"",BF26)</f>
        <v>3</v>
      </c>
      <c r="AT25" s="216">
        <f>IF(AND($BD26=0,$BE26=0,$BF26=0),"",BG26+AZ26)</f>
        <v>6</v>
      </c>
      <c r="AU25" s="212">
        <f>IF(AND($BD26=0,$BE26=0,$BF26=0),"",BD28)</f>
        <v>18</v>
      </c>
      <c r="AV25" s="212">
        <f>IF(AND($BD26=0,$BE26=0,$BF26=0),"",BE28)</f>
        <v>25</v>
      </c>
      <c r="AW25" s="213">
        <f>IF(AND($BD26=0,$BE26=0,$BF26=0),"",BF28)</f>
        <v>-7</v>
      </c>
      <c r="AX25" s="226">
        <f>IF(AND($BD26=0,$BE26=0,$BF26=0),"",RANK(BI27,BI$7:BI$35))</f>
        <v>6</v>
      </c>
      <c r="BD25" s="67" t="s">
        <v>92</v>
      </c>
      <c r="BE25" s="67" t="s">
        <v>93</v>
      </c>
      <c r="BF25" s="67" t="s">
        <v>94</v>
      </c>
      <c r="BG25" s="67" t="s">
        <v>95</v>
      </c>
      <c r="BH25" s="30"/>
      <c r="BI25" s="30"/>
      <c r="BJ25" s="30"/>
      <c r="BK25" s="62">
        <f>IF(D26&lt;&gt;"",D26,0)</f>
        <v>1</v>
      </c>
      <c r="BL25" s="62">
        <f>IF(I26&lt;&gt;"",I26,0)</f>
        <v>3</v>
      </c>
      <c r="BM25" s="62">
        <f>IF(N26&lt;&gt;"",N26,0)</f>
        <v>3</v>
      </c>
      <c r="BN25" s="62">
        <f>IF(S26&lt;&gt;"",S26,0)</f>
        <v>3</v>
      </c>
      <c r="BO25" s="62">
        <f>IF(X26&lt;&gt;"",X26,0)</f>
        <v>2</v>
      </c>
      <c r="BP25" s="62">
        <f>IF(AC26&lt;&gt;"",AC26,0)</f>
        <v>0</v>
      </c>
      <c r="BQ25" s="62">
        <f>IF(AH26&lt;&gt;"",AH26,0)</f>
        <v>3</v>
      </c>
      <c r="BR25" s="62">
        <f>IF(AM26&lt;&gt;"",AM26,0)</f>
        <v>3</v>
      </c>
    </row>
    <row r="26" spans="2:70" ht="24" customHeight="1">
      <c r="B26" s="231" t="str">
        <f>VLOOKUP(B25,'参加チーム'!$B$5:$G$73,IF($AQ$3=1,4,5),FALSE)</f>
        <v>Sabedoria</v>
      </c>
      <c r="C26" s="41" t="s">
        <v>84</v>
      </c>
      <c r="D26" s="42">
        <f>VLOOKUP("前"&amp;$B25&amp;E$39,'１部対戦表'!$S$1:$V$143,2,FALSE)</f>
        <v>1</v>
      </c>
      <c r="E26" s="42" t="str">
        <f>IF(D26&lt;&gt;"",IF(D26&gt;F26,"○",IF(D26&lt;F26,"●","△")),"-")</f>
        <v>●</v>
      </c>
      <c r="F26" s="42">
        <f>VLOOKUP("前"&amp;$B25&amp;E$39,'１部対戦表'!$S$1:$V$143,3,FALSE)</f>
        <v>5</v>
      </c>
      <c r="G26" s="43" t="s">
        <v>85</v>
      </c>
      <c r="H26" s="41" t="s">
        <v>84</v>
      </c>
      <c r="I26" s="42">
        <f>VLOOKUP("前"&amp;$B25&amp;J$39,'１部対戦表'!$S$1:$V$143,2,FALSE)</f>
        <v>3</v>
      </c>
      <c r="J26" s="42" t="str">
        <f>IF(I26&lt;&gt;"",IF(I26&gt;K26,"○",IF(I26&lt;K26,"●","△")),"-")</f>
        <v>○</v>
      </c>
      <c r="K26" s="42">
        <f>VLOOKUP("前"&amp;$B25&amp;J$39,'１部対戦表'!$S$1:$V$143,3,FALSE)</f>
        <v>1</v>
      </c>
      <c r="L26" s="43" t="s">
        <v>85</v>
      </c>
      <c r="M26" s="41" t="s">
        <v>84</v>
      </c>
      <c r="N26" s="42">
        <f>VLOOKUP("前"&amp;$B25&amp;O$39,'１部対戦表'!$S$1:$V$143,2,FALSE)</f>
        <v>3</v>
      </c>
      <c r="O26" s="42" t="str">
        <f>IF(N26&lt;&gt;"",IF(N26&gt;P26,"○",IF(N26&lt;P26,"●","△")),"-")</f>
        <v>●</v>
      </c>
      <c r="P26" s="42">
        <f>VLOOKUP("前"&amp;$B25&amp;O$39,'１部対戦表'!$S$1:$V$143,3,FALSE)</f>
        <v>6</v>
      </c>
      <c r="Q26" s="43" t="s">
        <v>85</v>
      </c>
      <c r="R26" s="41" t="s">
        <v>84</v>
      </c>
      <c r="S26" s="42">
        <f>VLOOKUP("前"&amp;$B25&amp;T$39,'１部対戦表'!$S$1:$V$143,2,FALSE)</f>
        <v>3</v>
      </c>
      <c r="T26" s="42" t="str">
        <f>IF(S26&lt;&gt;"",IF(S26&gt;U26,"○",IF(S26&lt;U26,"●","△")),"-")</f>
        <v>●</v>
      </c>
      <c r="U26" s="42">
        <f>VLOOKUP("前"&amp;$B25&amp;T$39,'１部対戦表'!$S$1:$V$143,3,FALSE)</f>
        <v>5</v>
      </c>
      <c r="V26" s="43" t="s">
        <v>85</v>
      </c>
      <c r="W26" s="41" t="s">
        <v>84</v>
      </c>
      <c r="X26" s="42">
        <f>VLOOKUP("前"&amp;$B25&amp;Y$39,'１部対戦表'!$S$1:$V$143,2,FALSE)</f>
        <v>2</v>
      </c>
      <c r="Y26" s="42" t="str">
        <f>IF(X26&lt;&gt;"",IF(X26&gt;Z26,"○",IF(X26&lt;Z26,"●","△")),"-")</f>
        <v>△</v>
      </c>
      <c r="Z26" s="42">
        <f>VLOOKUP("前"&amp;$B25&amp;Y$39,'１部対戦表'!$S$1:$V$143,3,FALSE)</f>
        <v>2</v>
      </c>
      <c r="AA26" s="43" t="s">
        <v>85</v>
      </c>
      <c r="AB26" s="236"/>
      <c r="AC26" s="237"/>
      <c r="AD26" s="237"/>
      <c r="AE26" s="237"/>
      <c r="AF26" s="238"/>
      <c r="AG26" s="41" t="s">
        <v>84</v>
      </c>
      <c r="AH26" s="42">
        <f>VLOOKUP("前"&amp;$B25&amp;AI$39,'１部対戦表'!$S$1:$V$143,2,FALSE)</f>
        <v>3</v>
      </c>
      <c r="AI26" s="42" t="str">
        <f>IF(AH26&lt;&gt;"",IF(AH26&gt;AJ26,"○",IF(AH26&lt;AJ26,"●","△")),"-")</f>
        <v>△</v>
      </c>
      <c r="AJ26" s="42">
        <f>VLOOKUP("前"&amp;$B25&amp;AI$39,'１部対戦表'!$S$1:$V$143,3,FALSE)</f>
        <v>3</v>
      </c>
      <c r="AK26" s="43" t="s">
        <v>85</v>
      </c>
      <c r="AL26" s="41" t="s">
        <v>84</v>
      </c>
      <c r="AM26" s="42">
        <f>VLOOKUP("前"&amp;$B25&amp;AN$39,'１部対戦表'!$S$1:$V$143,2,FALSE)</f>
        <v>3</v>
      </c>
      <c r="AN26" s="42" t="str">
        <f>IF(AM26&lt;&gt;"",IF(AM26&gt;AO26,"○",IF(AM26&lt;AO26,"●","△")),"-")</f>
        <v>△</v>
      </c>
      <c r="AO26" s="42">
        <f>VLOOKUP("前"&amp;$B25&amp;AN$39,'１部対戦表'!$S$1:$V$143,3,FALSE)</f>
        <v>3</v>
      </c>
      <c r="AP26" s="43" t="s">
        <v>85</v>
      </c>
      <c r="AQ26" s="223"/>
      <c r="AR26" s="214"/>
      <c r="AS26" s="214"/>
      <c r="AT26" s="217"/>
      <c r="AU26" s="212"/>
      <c r="AV26" s="212"/>
      <c r="AW26" s="213"/>
      <c r="AX26" s="227"/>
      <c r="AZ26" s="263"/>
      <c r="BB26" s="274" t="s">
        <v>133</v>
      </c>
      <c r="BD26" s="32">
        <f>COUNTIF($C25:$AP28,"○")</f>
        <v>1</v>
      </c>
      <c r="BE26" s="32">
        <f>COUNTIF($C25:$AP28,"△")</f>
        <v>3</v>
      </c>
      <c r="BF26" s="32">
        <f>COUNTIF($C25:$AP28,"●")</f>
        <v>3</v>
      </c>
      <c r="BG26" s="67">
        <f>BD26*3+BE26</f>
        <v>6</v>
      </c>
      <c r="BH26" s="30"/>
      <c r="BI26" s="30"/>
      <c r="BJ26" s="30"/>
      <c r="BK26" s="63">
        <f>IF(F26&lt;&gt;"",F26,0)</f>
        <v>5</v>
      </c>
      <c r="BL26" s="63">
        <f>IF(K26&lt;&gt;"",K26,0)</f>
        <v>1</v>
      </c>
      <c r="BM26" s="63">
        <f>IF(P26&lt;&gt;"",P26,0)</f>
        <v>6</v>
      </c>
      <c r="BN26" s="63">
        <f>IF(U26&lt;&gt;"",U26,0)</f>
        <v>5</v>
      </c>
      <c r="BO26" s="63">
        <f>IF(Z26&lt;&gt;"",Z26,0)</f>
        <v>2</v>
      </c>
      <c r="BP26" s="63">
        <f>IF(AE26&lt;&gt;"",AE26,0)</f>
        <v>0</v>
      </c>
      <c r="BQ26" s="63">
        <f>IF(AJ26&lt;&gt;"",AJ26,0)</f>
        <v>3</v>
      </c>
      <c r="BR26" s="63">
        <f>IF(AO26&lt;&gt;"",AO26,0)</f>
        <v>3</v>
      </c>
    </row>
    <row r="27" spans="2:70" ht="24" customHeight="1" thickBot="1">
      <c r="B27" s="231"/>
      <c r="C27" s="230">
        <f>VLOOKUP("後"&amp;$B25&amp;E$39,'１部対戦表'!$S$1:$V$143,4,FALSE)</f>
        <v>40455</v>
      </c>
      <c r="D27" s="204"/>
      <c r="E27" s="204"/>
      <c r="F27" s="204"/>
      <c r="G27" s="205"/>
      <c r="H27" s="203">
        <f>VLOOKUP("後"&amp;$B25&amp;J$39,'１部対戦表'!$S$1:$V$143,4,FALSE)</f>
        <v>40462</v>
      </c>
      <c r="I27" s="204"/>
      <c r="J27" s="204"/>
      <c r="K27" s="204"/>
      <c r="L27" s="205"/>
      <c r="M27" s="203">
        <f>VLOOKUP("後"&amp;$B25&amp;O$39,'１部対戦表'!$S$1:$V$143,4,FALSE)</f>
        <v>40427</v>
      </c>
      <c r="N27" s="204"/>
      <c r="O27" s="204"/>
      <c r="P27" s="204"/>
      <c r="Q27" s="205"/>
      <c r="R27" s="203">
        <f>VLOOKUP("後"&amp;$B25&amp;T$39,'１部対戦表'!$S$1:$V$143,4,FALSE)</f>
        <v>40441</v>
      </c>
      <c r="S27" s="204"/>
      <c r="T27" s="204"/>
      <c r="U27" s="204"/>
      <c r="V27" s="205"/>
      <c r="W27" s="203">
        <f>VLOOKUP("後"&amp;$B25&amp;Y$39,'１部対戦表'!$S$1:$V$143,4,FALSE)</f>
        <v>40532</v>
      </c>
      <c r="X27" s="204"/>
      <c r="Y27" s="204"/>
      <c r="Z27" s="204"/>
      <c r="AA27" s="205"/>
      <c r="AB27" s="236"/>
      <c r="AC27" s="237"/>
      <c r="AD27" s="237"/>
      <c r="AE27" s="237"/>
      <c r="AF27" s="238"/>
      <c r="AG27" s="203">
        <f>VLOOKUP("後"&amp;$B25&amp;AI$39,'１部対戦表'!$S$1:$V$143,4,FALSE)</f>
        <v>40469</v>
      </c>
      <c r="AH27" s="204"/>
      <c r="AI27" s="204"/>
      <c r="AJ27" s="204"/>
      <c r="AK27" s="205"/>
      <c r="AL27" s="254">
        <f>VLOOKUP("後"&amp;$B25&amp;AN$39,'１部対戦表'!$S$1:$V$143,4,FALSE)</f>
        <v>40511</v>
      </c>
      <c r="AM27" s="255"/>
      <c r="AN27" s="255"/>
      <c r="AO27" s="255"/>
      <c r="AP27" s="256"/>
      <c r="AQ27" s="223"/>
      <c r="AR27" s="214"/>
      <c r="AS27" s="214"/>
      <c r="AT27" s="217"/>
      <c r="AU27" s="212"/>
      <c r="AV27" s="212"/>
      <c r="AW27" s="213"/>
      <c r="AX27" s="227"/>
      <c r="AZ27" s="264"/>
      <c r="BB27" s="275"/>
      <c r="BD27" s="75" t="s">
        <v>96</v>
      </c>
      <c r="BE27" s="75" t="s">
        <v>97</v>
      </c>
      <c r="BF27" s="75" t="s">
        <v>98</v>
      </c>
      <c r="BG27" s="31"/>
      <c r="BH27" s="31" t="s">
        <v>104</v>
      </c>
      <c r="BI27" s="65">
        <f>IF(AND(BD26=0,BE26=0,BF26=0),0,+AT25*1000+AW25)</f>
        <v>5993</v>
      </c>
      <c r="BJ27" s="66"/>
      <c r="BK27" s="63">
        <f>IF(D28&lt;&gt;"",D28,0)</f>
        <v>0</v>
      </c>
      <c r="BL27" s="63">
        <f>IF(I28&lt;&gt;"",I28,0)</f>
        <v>0</v>
      </c>
      <c r="BM27" s="63">
        <f>IF(N28&lt;&gt;"",N28,0)</f>
        <v>0</v>
      </c>
      <c r="BN27" s="63">
        <f>IF(S28&lt;&gt;"",S28,0)</f>
        <v>0</v>
      </c>
      <c r="BO27" s="63">
        <f>IF(X28&lt;&gt;"",X28,0)</f>
        <v>0</v>
      </c>
      <c r="BP27" s="63">
        <f>IF(AC28&lt;&gt;"",AC28,0)</f>
        <v>0</v>
      </c>
      <c r="BQ27" s="63">
        <f>IF(AH28&lt;&gt;"",AH28,0)</f>
        <v>0</v>
      </c>
      <c r="BR27" s="63">
        <f>IF(AM28&lt;&gt;"",AM28,0)</f>
        <v>0</v>
      </c>
    </row>
    <row r="28" spans="2:70" ht="24" customHeight="1">
      <c r="B28" s="232"/>
      <c r="C28" s="38" t="s">
        <v>84</v>
      </c>
      <c r="D28" s="39">
        <f>VLOOKUP("後"&amp;$B25&amp;E$39,'１部対戦表'!$S$1:$V$143,2,FALSE)</f>
      </c>
      <c r="E28" s="39">
        <f>IF(D28&lt;&gt;"",IF(D28&gt;F28,"○",IF(D28&lt;F28,"●","△")),"")</f>
      </c>
      <c r="F28" s="39">
        <f>VLOOKUP("後"&amp;$B25&amp;E$39,'１部対戦表'!$S$1:$V$143,3,FALSE)</f>
      </c>
      <c r="G28" s="40" t="s">
        <v>85</v>
      </c>
      <c r="H28" s="38" t="s">
        <v>84</v>
      </c>
      <c r="I28" s="39">
        <f>VLOOKUP("後"&amp;$B25&amp;J$39,'１部対戦表'!$S$1:$V$143,2,FALSE)</f>
      </c>
      <c r="J28" s="39">
        <f>IF(I28&lt;&gt;"",IF(I28&gt;K28,"○",IF(I28&lt;K28,"●","△")),"")</f>
      </c>
      <c r="K28" s="39">
        <f>VLOOKUP("後"&amp;$B25&amp;J$39,'１部対戦表'!$S$1:$V$143,3,FALSE)</f>
      </c>
      <c r="L28" s="40" t="s">
        <v>85</v>
      </c>
      <c r="M28" s="38" t="s">
        <v>84</v>
      </c>
      <c r="N28" s="39">
        <f>VLOOKUP("後"&amp;$B25&amp;O$39,'１部対戦表'!$S$1:$V$143,2,FALSE)</f>
      </c>
      <c r="O28" s="39">
        <f>IF(N28&lt;&gt;"",IF(N28&gt;P28,"○",IF(N28&lt;P28,"●","△")),"")</f>
      </c>
      <c r="P28" s="39">
        <f>VLOOKUP("後"&amp;$B25&amp;O$39,'１部対戦表'!$S$1:$V$143,3,FALSE)</f>
      </c>
      <c r="Q28" s="40" t="s">
        <v>85</v>
      </c>
      <c r="R28" s="38" t="s">
        <v>84</v>
      </c>
      <c r="S28" s="39">
        <f>VLOOKUP("後"&amp;$B25&amp;T$39,'１部対戦表'!$S$1:$V$143,2,FALSE)</f>
      </c>
      <c r="T28" s="39">
        <f>IF(S28&lt;&gt;"",IF(S28&gt;U28,"○",IF(S28&lt;U28,"●","△")),"")</f>
      </c>
      <c r="U28" s="39">
        <f>VLOOKUP("後"&amp;$B25&amp;T$39,'１部対戦表'!$S$1:$V$143,3,FALSE)</f>
      </c>
      <c r="V28" s="40" t="s">
        <v>85</v>
      </c>
      <c r="W28" s="38" t="s">
        <v>84</v>
      </c>
      <c r="X28" s="39">
        <f>VLOOKUP("後"&amp;$B25&amp;Y$39,'１部対戦表'!$S$1:$V$143,2,FALSE)</f>
      </c>
      <c r="Y28" s="39">
        <f>IF(X28&lt;&gt;"",IF(X28&gt;Z28,"○",IF(X28&lt;Z28,"●","△")),"")</f>
      </c>
      <c r="Z28" s="39">
        <f>VLOOKUP("後"&amp;$B25&amp;Y$39,'１部対戦表'!$S$1:$V$143,3,FALSE)</f>
      </c>
      <c r="AA28" s="40" t="s">
        <v>85</v>
      </c>
      <c r="AB28" s="239"/>
      <c r="AC28" s="240"/>
      <c r="AD28" s="240"/>
      <c r="AE28" s="240"/>
      <c r="AF28" s="241"/>
      <c r="AG28" s="38" t="s">
        <v>84</v>
      </c>
      <c r="AH28" s="39">
        <f>VLOOKUP("後"&amp;$B25&amp;AI$39,'１部対戦表'!$S$1:$V$143,2,FALSE)</f>
      </c>
      <c r="AI28" s="39">
        <f>IF(AH28&lt;&gt;"",IF(AH28&gt;AJ28,"○",IF(AH28&lt;AJ28,"●","△")),"")</f>
      </c>
      <c r="AJ28" s="39">
        <f>VLOOKUP("後"&amp;$B25&amp;AI$39,'１部対戦表'!$S$1:$V$143,3,FALSE)</f>
      </c>
      <c r="AK28" s="40" t="s">
        <v>85</v>
      </c>
      <c r="AL28" s="38" t="s">
        <v>84</v>
      </c>
      <c r="AM28" s="39">
        <f>VLOOKUP("後"&amp;$B25&amp;AN$39,'１部対戦表'!$S$1:$V$143,2,FALSE)</f>
      </c>
      <c r="AN28" s="39">
        <f>IF(AM28&lt;&gt;"",IF(AM28&gt;AO28,"○",IF(AM28&lt;AO28,"●","△")),"")</f>
      </c>
      <c r="AO28" s="39">
        <f>VLOOKUP("後"&amp;$B25&amp;AN$39,'１部対戦表'!$S$1:$V$143,3,FALSE)</f>
      </c>
      <c r="AP28" s="40" t="s">
        <v>85</v>
      </c>
      <c r="AQ28" s="224"/>
      <c r="AR28" s="225"/>
      <c r="AS28" s="225"/>
      <c r="AT28" s="229"/>
      <c r="AU28" s="212"/>
      <c r="AV28" s="212"/>
      <c r="AW28" s="213"/>
      <c r="AX28" s="228"/>
      <c r="BD28" s="75">
        <f>SUM(BK25:BR25)+SUM(BK27:BR27)</f>
        <v>18</v>
      </c>
      <c r="BE28" s="75">
        <f>SUM(BK26:BR26)+SUM(BK28:BR28)</f>
        <v>25</v>
      </c>
      <c r="BF28" s="57">
        <f>+BD28-BE28</f>
        <v>-7</v>
      </c>
      <c r="BG28" s="31"/>
      <c r="BH28" s="31"/>
      <c r="BI28" s="31"/>
      <c r="BJ28" s="31"/>
      <c r="BK28" s="64">
        <f>IF(F28&lt;&gt;"",F28,0)</f>
        <v>0</v>
      </c>
      <c r="BL28" s="64">
        <f>IF(K28&lt;&gt;"",K28,0)</f>
        <v>0</v>
      </c>
      <c r="BM28" s="64">
        <f>IF(P28&lt;&gt;"",P28,0)</f>
        <v>0</v>
      </c>
      <c r="BN28" s="64">
        <f>IF(U28&lt;&gt;"",U28,0)</f>
        <v>0</v>
      </c>
      <c r="BO28" s="64">
        <f>IF(Z28&lt;&gt;"",Z28,0)</f>
        <v>0</v>
      </c>
      <c r="BP28" s="64">
        <f>IF(AE28&lt;&gt;"",AE28,0)</f>
        <v>0</v>
      </c>
      <c r="BQ28" s="64">
        <f>IF(AJ28&lt;&gt;"",AJ28,0)</f>
        <v>0</v>
      </c>
      <c r="BR28" s="64">
        <f>IF(AO28&lt;&gt;"",AO28,0)</f>
        <v>0</v>
      </c>
    </row>
    <row r="29" spans="2:70" ht="24" customHeight="1" thickBot="1">
      <c r="B29" s="69" t="str">
        <f>+AX69</f>
        <v>Ｃ</v>
      </c>
      <c r="C29" s="200">
        <f>VLOOKUP("前"&amp;$B29&amp;E$39,'１部対戦表'!$S$1:$V$143,4,FALSE)</f>
        <v>40392</v>
      </c>
      <c r="D29" s="201"/>
      <c r="E29" s="201"/>
      <c r="F29" s="201"/>
      <c r="G29" s="202"/>
      <c r="H29" s="200">
        <f>VLOOKUP("前"&amp;$B29&amp;J$39,'１部対戦表'!$S$1:$V$143,4,FALSE)</f>
        <v>40315</v>
      </c>
      <c r="I29" s="201"/>
      <c r="J29" s="201"/>
      <c r="K29" s="201"/>
      <c r="L29" s="202"/>
      <c r="M29" s="200">
        <f>VLOOKUP("前"&amp;$B29&amp;O$39,'１部対戦表'!$S$1:$V$143,4,FALSE)</f>
        <v>40399</v>
      </c>
      <c r="N29" s="201"/>
      <c r="O29" s="201"/>
      <c r="P29" s="201"/>
      <c r="Q29" s="202"/>
      <c r="R29" s="200">
        <f>VLOOKUP("前"&amp;$B29&amp;T$39,'１部対戦表'!$S$1:$V$143,4,FALSE)</f>
        <v>40379</v>
      </c>
      <c r="S29" s="201"/>
      <c r="T29" s="201"/>
      <c r="U29" s="201"/>
      <c r="V29" s="202"/>
      <c r="W29" s="200">
        <f>VLOOKUP("前"&amp;$B29&amp;Y$39,'１部対戦表'!$S$1:$V$143,4,FALSE)</f>
        <v>40364</v>
      </c>
      <c r="X29" s="201"/>
      <c r="Y29" s="201"/>
      <c r="Z29" s="201"/>
      <c r="AA29" s="202"/>
      <c r="AB29" s="200">
        <f>VLOOKUP("前"&amp;$B29&amp;AD$39,'１部対戦表'!$S$1:$V$143,4,FALSE)</f>
        <v>40343</v>
      </c>
      <c r="AC29" s="201"/>
      <c r="AD29" s="201"/>
      <c r="AE29" s="201"/>
      <c r="AF29" s="202"/>
      <c r="AG29" s="233"/>
      <c r="AH29" s="234"/>
      <c r="AI29" s="234"/>
      <c r="AJ29" s="234"/>
      <c r="AK29" s="235"/>
      <c r="AL29" s="200">
        <f>VLOOKUP("前"&amp;$B29&amp;AN$39,'１部対戦表'!$S$1:$V$143,4,FALSE)</f>
        <v>40350</v>
      </c>
      <c r="AM29" s="201"/>
      <c r="AN29" s="201"/>
      <c r="AO29" s="201"/>
      <c r="AP29" s="202"/>
      <c r="AQ29" s="223">
        <f>IF(AND($BD30=0,$BE30=0,$BF30=0),"",BD30)</f>
        <v>1</v>
      </c>
      <c r="AR29" s="214">
        <f>IF(AND($BD30=0,$BE30=0,$BF30=0),"",BE30)</f>
        <v>2</v>
      </c>
      <c r="AS29" s="214">
        <f>IF(AND($BD30=0,$BE30=0,$BF30=0),"",BF30)</f>
        <v>4</v>
      </c>
      <c r="AT29" s="216">
        <f>IF(AND($BD30=0,$BE30=0,$BF30=0),"",BG30+AZ30)</f>
        <v>5</v>
      </c>
      <c r="AU29" s="212">
        <f>IF(AND($BD30=0,$BE30=0,$BF30=0),"",BD32)</f>
        <v>13</v>
      </c>
      <c r="AV29" s="212">
        <f>IF(AND($BD30=0,$BE30=0,$BF30=0),"",BE32)</f>
        <v>20</v>
      </c>
      <c r="AW29" s="213">
        <f>IF(AND($BD30=0,$BE30=0,$BF30=0),"",BF32)</f>
        <v>-7</v>
      </c>
      <c r="AX29" s="226">
        <f>IF(AND($BD30=0,$BE30=0,$BF30=0),"",RANK(BI31,BI$7:BI$35))</f>
        <v>7</v>
      </c>
      <c r="BD29" s="67" t="s">
        <v>92</v>
      </c>
      <c r="BE29" s="67" t="s">
        <v>93</v>
      </c>
      <c r="BF29" s="67" t="s">
        <v>94</v>
      </c>
      <c r="BG29" s="67" t="s">
        <v>95</v>
      </c>
      <c r="BH29" s="30"/>
      <c r="BI29" s="30"/>
      <c r="BJ29" s="30"/>
      <c r="BK29" s="62">
        <f>IF(D30&lt;&gt;"",D30,0)</f>
        <v>2</v>
      </c>
      <c r="BL29" s="62">
        <f>IF(I30&lt;&gt;"",I30,0)</f>
        <v>3</v>
      </c>
      <c r="BM29" s="62">
        <f>IF(N30&lt;&gt;"",N30,0)</f>
        <v>1</v>
      </c>
      <c r="BN29" s="62">
        <f>IF(S30&lt;&gt;"",S30,0)</f>
        <v>0</v>
      </c>
      <c r="BO29" s="62">
        <f>IF(X30&lt;&gt;"",X30,0)</f>
        <v>1</v>
      </c>
      <c r="BP29" s="62">
        <f>IF(AC30&lt;&gt;"",AC30,0)</f>
        <v>3</v>
      </c>
      <c r="BQ29" s="62">
        <f>IF(AH30&lt;&gt;"",AH30,0)</f>
        <v>0</v>
      </c>
      <c r="BR29" s="62">
        <f>IF(AM30&lt;&gt;"",AM30,0)</f>
        <v>3</v>
      </c>
    </row>
    <row r="30" spans="2:70" ht="24" customHeight="1">
      <c r="B30" s="231" t="str">
        <f>VLOOKUP(B29,'参加チーム'!$B$5:$G$73,IF($AQ$3=1,4,5),FALSE)</f>
        <v>かちかち山</v>
      </c>
      <c r="C30" s="41" t="s">
        <v>84</v>
      </c>
      <c r="D30" s="42">
        <f>VLOOKUP("前"&amp;$B29&amp;E$39,'１部対戦表'!$S$1:$V$143,2,FALSE)</f>
        <v>2</v>
      </c>
      <c r="E30" s="42" t="str">
        <f>IF(D30&lt;&gt;"",IF(D30&gt;F30,"○",IF(D30&lt;F30,"●","△")),"-")</f>
        <v>△</v>
      </c>
      <c r="F30" s="42">
        <f>VLOOKUP("前"&amp;$B29&amp;E$39,'１部対戦表'!$S$1:$V$143,3,FALSE)</f>
        <v>2</v>
      </c>
      <c r="G30" s="43" t="s">
        <v>85</v>
      </c>
      <c r="H30" s="41" t="s">
        <v>84</v>
      </c>
      <c r="I30" s="42">
        <f>VLOOKUP("前"&amp;$B29&amp;J$39,'１部対戦表'!$S$1:$V$143,2,FALSE)</f>
        <v>3</v>
      </c>
      <c r="J30" s="42" t="str">
        <f>IF(I30&lt;&gt;"",IF(I30&gt;K30,"○",IF(I30&lt;K30,"●","△")),"-")</f>
        <v>●</v>
      </c>
      <c r="K30" s="42">
        <f>VLOOKUP("前"&amp;$B29&amp;J$39,'１部対戦表'!$S$1:$V$143,3,FALSE)</f>
        <v>6</v>
      </c>
      <c r="L30" s="43" t="s">
        <v>85</v>
      </c>
      <c r="M30" s="41" t="s">
        <v>84</v>
      </c>
      <c r="N30" s="42">
        <f>VLOOKUP("前"&amp;$B29&amp;O$39,'１部対戦表'!$S$1:$V$143,2,FALSE)</f>
        <v>1</v>
      </c>
      <c r="O30" s="42" t="str">
        <f>IF(N30&lt;&gt;"",IF(N30&gt;P30,"○",IF(N30&lt;P30,"●","△")),"-")</f>
        <v>●</v>
      </c>
      <c r="P30" s="42">
        <f>VLOOKUP("前"&amp;$B29&amp;O$39,'１部対戦表'!$S$1:$V$143,3,FALSE)</f>
        <v>2</v>
      </c>
      <c r="Q30" s="43" t="s">
        <v>85</v>
      </c>
      <c r="R30" s="41" t="s">
        <v>84</v>
      </c>
      <c r="S30" s="42">
        <f>VLOOKUP("前"&amp;$B29&amp;T$39,'１部対戦表'!$S$1:$V$143,2,FALSE)</f>
        <v>0</v>
      </c>
      <c r="T30" s="42" t="str">
        <f>IF(S30&lt;&gt;"",IF(S30&gt;U30,"○",IF(S30&lt;U30,"●","△")),"-")</f>
        <v>●</v>
      </c>
      <c r="U30" s="42">
        <f>VLOOKUP("前"&amp;$B29&amp;T$39,'１部対戦表'!$S$1:$V$143,3,FALSE)</f>
        <v>2</v>
      </c>
      <c r="V30" s="43" t="s">
        <v>85</v>
      </c>
      <c r="W30" s="41" t="s">
        <v>84</v>
      </c>
      <c r="X30" s="42">
        <f>VLOOKUP("前"&amp;$B29&amp;Y$39,'１部対戦表'!$S$1:$V$143,2,FALSE)</f>
        <v>1</v>
      </c>
      <c r="Y30" s="42" t="str">
        <f>IF(X30&lt;&gt;"",IF(X30&gt;Z30,"○",IF(X30&lt;Z30,"●","△")),"-")</f>
        <v>●</v>
      </c>
      <c r="Z30" s="42">
        <f>VLOOKUP("前"&amp;$B29&amp;Y$39,'１部対戦表'!$S$1:$V$143,3,FALSE)</f>
        <v>3</v>
      </c>
      <c r="AA30" s="43" t="s">
        <v>85</v>
      </c>
      <c r="AB30" s="41" t="s">
        <v>84</v>
      </c>
      <c r="AC30" s="42">
        <f>VLOOKUP("前"&amp;$B29&amp;AD$39,'１部対戦表'!$S$1:$V$143,2,FALSE)</f>
        <v>3</v>
      </c>
      <c r="AD30" s="42" t="str">
        <f>IF(AC30&lt;&gt;"",IF(AC30&gt;AE30,"○",IF(AC30&lt;AE30,"●","△")),"-")</f>
        <v>△</v>
      </c>
      <c r="AE30" s="42">
        <f>VLOOKUP("前"&amp;$B29&amp;AD$39,'１部対戦表'!$S$1:$V$143,3,FALSE)</f>
        <v>3</v>
      </c>
      <c r="AF30" s="43" t="s">
        <v>85</v>
      </c>
      <c r="AG30" s="236"/>
      <c r="AH30" s="237"/>
      <c r="AI30" s="237"/>
      <c r="AJ30" s="237"/>
      <c r="AK30" s="238"/>
      <c r="AL30" s="41" t="s">
        <v>84</v>
      </c>
      <c r="AM30" s="42">
        <f>VLOOKUP("前"&amp;$B29&amp;AN$39,'１部対戦表'!$S$1:$V$143,2,FALSE)</f>
        <v>3</v>
      </c>
      <c r="AN30" s="42" t="str">
        <f>IF(AM30&lt;&gt;"",IF(AM30&gt;AO30,"○",IF(AM30&lt;AO30,"●","△")),"-")</f>
        <v>○</v>
      </c>
      <c r="AO30" s="42">
        <f>VLOOKUP("前"&amp;$B29&amp;AN$39,'１部対戦表'!$S$1:$V$143,3,FALSE)</f>
        <v>2</v>
      </c>
      <c r="AP30" s="43" t="s">
        <v>85</v>
      </c>
      <c r="AQ30" s="223"/>
      <c r="AR30" s="214"/>
      <c r="AS30" s="214"/>
      <c r="AT30" s="217"/>
      <c r="AU30" s="212"/>
      <c r="AV30" s="212"/>
      <c r="AW30" s="213"/>
      <c r="AX30" s="227"/>
      <c r="AZ30" s="263"/>
      <c r="BB30" s="274"/>
      <c r="BD30" s="32">
        <f>COUNTIF($C29:$AP32,"○")</f>
        <v>1</v>
      </c>
      <c r="BE30" s="32">
        <f>COUNTIF($C29:$AP32,"△")</f>
        <v>2</v>
      </c>
      <c r="BF30" s="32">
        <f>COUNTIF($C29:$AP32,"●")</f>
        <v>4</v>
      </c>
      <c r="BG30" s="67">
        <f>BD30*3+BE30</f>
        <v>5</v>
      </c>
      <c r="BH30" s="30"/>
      <c r="BI30" s="30"/>
      <c r="BJ30" s="30"/>
      <c r="BK30" s="63">
        <f>IF(F30&lt;&gt;"",F30,0)</f>
        <v>2</v>
      </c>
      <c r="BL30" s="63">
        <f>IF(K30&lt;&gt;"",K30,0)</f>
        <v>6</v>
      </c>
      <c r="BM30" s="63">
        <f>IF(P30&lt;&gt;"",P30,0)</f>
        <v>2</v>
      </c>
      <c r="BN30" s="63">
        <f>IF(U30&lt;&gt;"",U30,0)</f>
        <v>2</v>
      </c>
      <c r="BO30" s="63">
        <f>IF(Z30&lt;&gt;"",Z30,0)</f>
        <v>3</v>
      </c>
      <c r="BP30" s="63">
        <f>IF(AE30&lt;&gt;"",AE30,0)</f>
        <v>3</v>
      </c>
      <c r="BQ30" s="63">
        <f>IF(AJ30&lt;&gt;"",AJ30,0)</f>
        <v>0</v>
      </c>
      <c r="BR30" s="63">
        <f>IF(AO30&lt;&gt;"",AO30,0)</f>
        <v>2</v>
      </c>
    </row>
    <row r="31" spans="2:70" ht="24" customHeight="1" thickBot="1">
      <c r="B31" s="231"/>
      <c r="C31" s="230">
        <f>VLOOKUP("後"&amp;$B29&amp;E$39,'１部対戦表'!$S$1:$V$143,4,FALSE)</f>
        <v>40441</v>
      </c>
      <c r="D31" s="204"/>
      <c r="E31" s="204"/>
      <c r="F31" s="204"/>
      <c r="G31" s="205"/>
      <c r="H31" s="203">
        <f>VLOOKUP("後"&amp;$B29&amp;J$39,'１部対戦表'!$S$1:$V$143,4,FALSE)</f>
        <v>40427</v>
      </c>
      <c r="I31" s="204"/>
      <c r="J31" s="204"/>
      <c r="K31" s="204"/>
      <c r="L31" s="205"/>
      <c r="M31" s="203">
        <f>VLOOKUP("後"&amp;$B29&amp;O$39,'１部対戦表'!$S$1:$V$143,4,FALSE)</f>
        <v>40462</v>
      </c>
      <c r="N31" s="204"/>
      <c r="O31" s="204"/>
      <c r="P31" s="204"/>
      <c r="Q31" s="205"/>
      <c r="R31" s="203">
        <f>VLOOKUP("後"&amp;$B29&amp;T$39,'１部対戦表'!$S$1:$V$143,4,FALSE)</f>
        <v>40455</v>
      </c>
      <c r="S31" s="204"/>
      <c r="T31" s="204"/>
      <c r="U31" s="204"/>
      <c r="V31" s="205"/>
      <c r="W31" s="203">
        <f>VLOOKUP("後"&amp;$B29&amp;Y$39,'１部対戦表'!$S$1:$V$143,4,FALSE)</f>
        <v>40511</v>
      </c>
      <c r="X31" s="204"/>
      <c r="Y31" s="204"/>
      <c r="Z31" s="204"/>
      <c r="AA31" s="205"/>
      <c r="AB31" s="203">
        <f>VLOOKUP("後"&amp;$B29&amp;AD$39,'１部対戦表'!$S$1:$V$143,4,FALSE)</f>
        <v>40469</v>
      </c>
      <c r="AC31" s="204"/>
      <c r="AD31" s="204"/>
      <c r="AE31" s="204"/>
      <c r="AF31" s="205"/>
      <c r="AG31" s="236"/>
      <c r="AH31" s="237"/>
      <c r="AI31" s="237"/>
      <c r="AJ31" s="237"/>
      <c r="AK31" s="238"/>
      <c r="AL31" s="220"/>
      <c r="AM31" s="221"/>
      <c r="AN31" s="221"/>
      <c r="AO31" s="221"/>
      <c r="AP31" s="222"/>
      <c r="AQ31" s="223"/>
      <c r="AR31" s="214"/>
      <c r="AS31" s="214"/>
      <c r="AT31" s="217"/>
      <c r="AU31" s="212"/>
      <c r="AV31" s="212"/>
      <c r="AW31" s="213"/>
      <c r="AX31" s="227"/>
      <c r="AZ31" s="264"/>
      <c r="BB31" s="275"/>
      <c r="BD31" s="75" t="s">
        <v>96</v>
      </c>
      <c r="BE31" s="75" t="s">
        <v>97</v>
      </c>
      <c r="BF31" s="75" t="s">
        <v>98</v>
      </c>
      <c r="BG31" s="31"/>
      <c r="BH31" s="31" t="s">
        <v>104</v>
      </c>
      <c r="BI31" s="65">
        <f>IF(AND(BD30=0,BE30=0,BF30=0),0,+AT29*1000+AW29)</f>
        <v>4993</v>
      </c>
      <c r="BJ31" s="66"/>
      <c r="BK31" s="63">
        <f>IF(D32&lt;&gt;"",D32,0)</f>
        <v>0</v>
      </c>
      <c r="BL31" s="63">
        <f>IF(I32&lt;&gt;"",I32,0)</f>
        <v>0</v>
      </c>
      <c r="BM31" s="63">
        <f>IF(N32&lt;&gt;"",N32,0)</f>
        <v>0</v>
      </c>
      <c r="BN31" s="63">
        <f>IF(S32&lt;&gt;"",S32,0)</f>
        <v>0</v>
      </c>
      <c r="BO31" s="63">
        <f>IF(X32&lt;&gt;"",X32,0)</f>
        <v>0</v>
      </c>
      <c r="BP31" s="63">
        <f>IF(AC32&lt;&gt;"",AC32,0)</f>
        <v>0</v>
      </c>
      <c r="BQ31" s="63">
        <f>IF(AH32&lt;&gt;"",AH32,0)</f>
        <v>0</v>
      </c>
      <c r="BR31" s="63">
        <f>IF(AM32&lt;&gt;"",AM32,0)</f>
        <v>0</v>
      </c>
    </row>
    <row r="32" spans="2:70" ht="24" customHeight="1">
      <c r="B32" s="232"/>
      <c r="C32" s="38" t="s">
        <v>84</v>
      </c>
      <c r="D32" s="39">
        <f>VLOOKUP("後"&amp;$B29&amp;E$39,'１部対戦表'!$S$1:$V$143,2,FALSE)</f>
      </c>
      <c r="E32" s="39">
        <f>IF(D32&lt;&gt;"",IF(D32&gt;F32,"○",IF(D32&lt;F32,"●","△")),"")</f>
      </c>
      <c r="F32" s="39">
        <f>VLOOKUP("後"&amp;$B29&amp;E$39,'１部対戦表'!$S$1:$V$143,3,FALSE)</f>
      </c>
      <c r="G32" s="40" t="s">
        <v>85</v>
      </c>
      <c r="H32" s="38" t="s">
        <v>84</v>
      </c>
      <c r="I32" s="39">
        <f>VLOOKUP("後"&amp;$B29&amp;J$39,'１部対戦表'!$S$1:$V$143,2,FALSE)</f>
      </c>
      <c r="J32" s="39">
        <f>IF(I32&lt;&gt;"",IF(I32&gt;K32,"○",IF(I32&lt;K32,"●","△")),"")</f>
      </c>
      <c r="K32" s="39">
        <f>VLOOKUP("後"&amp;$B29&amp;J$39,'１部対戦表'!$S$1:$V$143,3,FALSE)</f>
      </c>
      <c r="L32" s="40" t="s">
        <v>85</v>
      </c>
      <c r="M32" s="38" t="s">
        <v>84</v>
      </c>
      <c r="N32" s="39">
        <f>VLOOKUP("後"&amp;$B29&amp;O$39,'１部対戦表'!$S$1:$V$143,2,FALSE)</f>
      </c>
      <c r="O32" s="39">
        <f>IF(N32&lt;&gt;"",IF(N32&gt;P32,"○",IF(N32&lt;P32,"●","△")),"")</f>
      </c>
      <c r="P32" s="39">
        <f>VLOOKUP("後"&amp;$B29&amp;O$39,'１部対戦表'!$S$1:$V$143,3,FALSE)</f>
      </c>
      <c r="Q32" s="40" t="s">
        <v>85</v>
      </c>
      <c r="R32" s="38" t="s">
        <v>84</v>
      </c>
      <c r="S32" s="39">
        <f>VLOOKUP("後"&amp;$B29&amp;T$39,'１部対戦表'!$S$1:$V$143,2,FALSE)</f>
      </c>
      <c r="T32" s="39">
        <f>IF(S32&lt;&gt;"",IF(S32&gt;U32,"○",IF(S32&lt;U32,"●","△")),"")</f>
      </c>
      <c r="U32" s="39">
        <f>VLOOKUP("後"&amp;$B29&amp;T$39,'１部対戦表'!$S$1:$V$143,3,FALSE)</f>
      </c>
      <c r="V32" s="40" t="s">
        <v>85</v>
      </c>
      <c r="W32" s="38" t="s">
        <v>84</v>
      </c>
      <c r="X32" s="39">
        <f>VLOOKUP("後"&amp;$B29&amp;Y$39,'１部対戦表'!$S$1:$V$143,2,FALSE)</f>
      </c>
      <c r="Y32" s="39">
        <f>IF(X32&lt;&gt;"",IF(X32&gt;Z32,"○",IF(X32&lt;Z32,"●","△")),"")</f>
      </c>
      <c r="Z32" s="39">
        <f>VLOOKUP("後"&amp;$B29&amp;Y$39,'１部対戦表'!$S$1:$V$143,3,FALSE)</f>
      </c>
      <c r="AA32" s="40" t="s">
        <v>85</v>
      </c>
      <c r="AB32" s="38" t="s">
        <v>84</v>
      </c>
      <c r="AC32" s="39">
        <f>VLOOKUP("後"&amp;$B29&amp;AD$39,'１部対戦表'!$S$1:$V$143,2,FALSE)</f>
      </c>
      <c r="AD32" s="39">
        <f>IF(AC32&lt;&gt;"",IF(AC32&gt;AE32,"○",IF(AC32&lt;AE32,"●","△")),"")</f>
      </c>
      <c r="AE32" s="39">
        <f>VLOOKUP("後"&amp;$B29&amp;AD$39,'１部対戦表'!$S$1:$V$143,3,FALSE)</f>
      </c>
      <c r="AF32" s="40" t="s">
        <v>85</v>
      </c>
      <c r="AG32" s="239"/>
      <c r="AH32" s="240"/>
      <c r="AI32" s="240"/>
      <c r="AJ32" s="240"/>
      <c r="AK32" s="241"/>
      <c r="AL32" s="38" t="s">
        <v>84</v>
      </c>
      <c r="AM32" s="39"/>
      <c r="AN32" s="39" t="s">
        <v>143</v>
      </c>
      <c r="AO32" s="39"/>
      <c r="AP32" s="40" t="s">
        <v>85</v>
      </c>
      <c r="AQ32" s="224"/>
      <c r="AR32" s="225"/>
      <c r="AS32" s="225"/>
      <c r="AT32" s="229"/>
      <c r="AU32" s="212"/>
      <c r="AV32" s="212"/>
      <c r="AW32" s="213"/>
      <c r="AX32" s="228"/>
      <c r="BD32" s="75">
        <f>SUM(BK29:BR29)+SUM(BK31:BR31)</f>
        <v>13</v>
      </c>
      <c r="BE32" s="75">
        <f>SUM(BK30:BR30)+SUM(BK32:BR32)</f>
        <v>20</v>
      </c>
      <c r="BF32" s="57">
        <f>+BD32-BE32</f>
        <v>-7</v>
      </c>
      <c r="BG32" s="31"/>
      <c r="BH32" s="31"/>
      <c r="BI32" s="31"/>
      <c r="BJ32" s="31"/>
      <c r="BK32" s="64">
        <f>IF(F32&lt;&gt;"",F32,0)</f>
        <v>0</v>
      </c>
      <c r="BL32" s="64">
        <f>IF(K32&lt;&gt;"",K32,0)</f>
        <v>0</v>
      </c>
      <c r="BM32" s="64">
        <f>IF(P32&lt;&gt;"",P32,0)</f>
        <v>0</v>
      </c>
      <c r="BN32" s="64">
        <f>IF(U32&lt;&gt;"",U32,0)</f>
        <v>0</v>
      </c>
      <c r="BO32" s="64">
        <f>IF(Z32&lt;&gt;"",Z32,0)</f>
        <v>0</v>
      </c>
      <c r="BP32" s="64">
        <f>IF(AE32&lt;&gt;"",AE32,0)</f>
        <v>0</v>
      </c>
      <c r="BQ32" s="64">
        <f>IF(AJ32&lt;&gt;"",AJ32,0)</f>
        <v>0</v>
      </c>
      <c r="BR32" s="64">
        <f>IF(AO32&lt;&gt;"",AO32,0)</f>
        <v>0</v>
      </c>
    </row>
    <row r="33" spans="2:70" ht="24" customHeight="1" thickBot="1">
      <c r="B33" s="69" t="str">
        <f>+AX70</f>
        <v>H</v>
      </c>
      <c r="C33" s="200">
        <f>VLOOKUP("前"&amp;$B33&amp;E$39,'１部対戦表'!$S$1:$V$143,4,FALSE)</f>
        <v>40343</v>
      </c>
      <c r="D33" s="201"/>
      <c r="E33" s="201"/>
      <c r="F33" s="201"/>
      <c r="G33" s="202"/>
      <c r="H33" s="200">
        <f>VLOOKUP("前"&amp;$B33&amp;J$39,'１部対戦表'!$S$1:$V$143,4,FALSE)</f>
        <v>40392</v>
      </c>
      <c r="I33" s="201"/>
      <c r="J33" s="201"/>
      <c r="K33" s="201"/>
      <c r="L33" s="202"/>
      <c r="M33" s="200">
        <f>VLOOKUP("前"&amp;$B33&amp;O$39,'１部対戦表'!$S$1:$V$143,4,FALSE)</f>
        <v>40356</v>
      </c>
      <c r="N33" s="201"/>
      <c r="O33" s="201"/>
      <c r="P33" s="201"/>
      <c r="Q33" s="202"/>
      <c r="R33" s="200">
        <f>VLOOKUP("前"&amp;$B33&amp;T$39,'１部対戦表'!$S$1:$V$143,4,FALSE)</f>
        <v>40315</v>
      </c>
      <c r="S33" s="201"/>
      <c r="T33" s="201"/>
      <c r="U33" s="201"/>
      <c r="V33" s="202"/>
      <c r="W33" s="200">
        <f>VLOOKUP("前"&amp;$B33&amp;Y$39,'１部対戦表'!$S$1:$V$143,4,FALSE)</f>
        <v>40399</v>
      </c>
      <c r="X33" s="201"/>
      <c r="Y33" s="201"/>
      <c r="Z33" s="201"/>
      <c r="AA33" s="202"/>
      <c r="AB33" s="200">
        <f>VLOOKUP("前"&amp;$B33&amp;AD$39,'１部対戦表'!$S$1:$V$143,4,FALSE)</f>
        <v>40379</v>
      </c>
      <c r="AC33" s="201"/>
      <c r="AD33" s="201"/>
      <c r="AE33" s="201"/>
      <c r="AF33" s="202"/>
      <c r="AG33" s="200">
        <f>VLOOKUP("前"&amp;$B33&amp;AI$39,'１部対戦表'!$S$1:$V$143,4,FALSE)</f>
        <v>40350</v>
      </c>
      <c r="AH33" s="201"/>
      <c r="AI33" s="201"/>
      <c r="AJ33" s="201"/>
      <c r="AK33" s="202"/>
      <c r="AL33" s="233"/>
      <c r="AM33" s="234"/>
      <c r="AN33" s="234"/>
      <c r="AO33" s="234"/>
      <c r="AP33" s="266"/>
      <c r="AQ33" s="223">
        <f>IF(AND($BD34=0,$BE34=0,$BF34=0),"",BD34)</f>
        <v>0</v>
      </c>
      <c r="AR33" s="214">
        <f>IF(AND($BD34=0,$BE34=0,$BF34=0),"",BE34)</f>
        <v>1</v>
      </c>
      <c r="AS33" s="214">
        <f>IF(AND($BD34=0,$BE34=0,$BF34=0),"",BF34)</f>
        <v>6</v>
      </c>
      <c r="AT33" s="216">
        <f>IF(AND($BD34=0,$BE34=0,$BF34=0),"",BG34+AZ34)</f>
        <v>1</v>
      </c>
      <c r="AU33" s="212">
        <f>IF(AND($BD34=0,$BE34=0,$BF34=0),"",BD36)</f>
        <v>12</v>
      </c>
      <c r="AV33" s="212">
        <f>IF(AND($BD34=0,$BE34=0,$BF34=0),"",BE36)</f>
        <v>26</v>
      </c>
      <c r="AW33" s="213">
        <f>IF(AND($BD34=0,$BE34=0,$BF34=0),"",BF36)</f>
        <v>-14</v>
      </c>
      <c r="AX33" s="226">
        <f>IF(AND($BD34=0,$BE34=0,$BF34=0),"",RANK(BI35,BI$7:BI$35))</f>
        <v>8</v>
      </c>
      <c r="BD33" s="67" t="s">
        <v>92</v>
      </c>
      <c r="BE33" s="67" t="s">
        <v>93</v>
      </c>
      <c r="BF33" s="67" t="s">
        <v>94</v>
      </c>
      <c r="BG33" s="67" t="s">
        <v>95</v>
      </c>
      <c r="BH33" s="30"/>
      <c r="BI33" s="30"/>
      <c r="BJ33" s="30"/>
      <c r="BK33" s="62">
        <f>IF(D34&lt;&gt;"",D34,0)</f>
        <v>1</v>
      </c>
      <c r="BL33" s="62">
        <f>IF(I34&lt;&gt;"",I34,0)</f>
        <v>3</v>
      </c>
      <c r="BM33" s="62">
        <f>IF(N34&lt;&gt;"",N34,0)</f>
        <v>1</v>
      </c>
      <c r="BN33" s="62">
        <f>IF(S34&lt;&gt;"",S34,0)</f>
        <v>0</v>
      </c>
      <c r="BO33" s="62">
        <f>IF(X34&lt;&gt;"",X34,0)</f>
        <v>2</v>
      </c>
      <c r="BP33" s="62">
        <f>IF(AC34&lt;&gt;"",AC34,0)</f>
        <v>3</v>
      </c>
      <c r="BQ33" s="62">
        <f>IF(AH34&lt;&gt;"",AH34,0)</f>
        <v>2</v>
      </c>
      <c r="BR33" s="62">
        <f>IF(AM34&lt;&gt;"",AM34,0)</f>
        <v>0</v>
      </c>
    </row>
    <row r="34" spans="2:70" ht="24" customHeight="1">
      <c r="B34" s="231" t="str">
        <f>VLOOKUP(B33,'参加チーム'!$B$5:$G$73,IF($AQ$3=1,4,5),FALSE)</f>
        <v>CROSS</v>
      </c>
      <c r="C34" s="41" t="s">
        <v>84</v>
      </c>
      <c r="D34" s="42">
        <f>VLOOKUP("前"&amp;$B33&amp;E$39,'１部対戦表'!$S$1:$V$143,2,FALSE)</f>
        <v>1</v>
      </c>
      <c r="E34" s="42" t="str">
        <f>IF(D34&lt;&gt;"",IF(D34&gt;F34,"○",IF(D34&lt;F34,"●","△")),"-")</f>
        <v>●</v>
      </c>
      <c r="F34" s="42">
        <f>VLOOKUP("前"&amp;$B33&amp;E$39,'１部対戦表'!$S$1:$V$143,3,FALSE)</f>
        <v>5</v>
      </c>
      <c r="G34" s="43" t="s">
        <v>85</v>
      </c>
      <c r="H34" s="41" t="s">
        <v>84</v>
      </c>
      <c r="I34" s="42">
        <f>VLOOKUP("前"&amp;$B33&amp;J$39,'１部対戦表'!$S$1:$V$143,2,FALSE)</f>
        <v>3</v>
      </c>
      <c r="J34" s="42" t="str">
        <f>IF(I34&lt;&gt;"",IF(I34&gt;K34,"○",IF(I34&lt;K34,"●","△")),"-")</f>
        <v>●</v>
      </c>
      <c r="K34" s="42">
        <f>VLOOKUP("前"&amp;$B33&amp;J$39,'１部対戦表'!$S$1:$V$143,3,FALSE)</f>
        <v>7</v>
      </c>
      <c r="L34" s="43" t="s">
        <v>85</v>
      </c>
      <c r="M34" s="41" t="s">
        <v>84</v>
      </c>
      <c r="N34" s="42">
        <f>VLOOKUP("前"&amp;$B33&amp;O$39,'１部対戦表'!$S$1:$V$143,2,FALSE)</f>
        <v>1</v>
      </c>
      <c r="O34" s="42" t="str">
        <f>IF(N34&lt;&gt;"",IF(N34&gt;P34,"○",IF(N34&lt;P34,"●","△")),"-")</f>
        <v>●</v>
      </c>
      <c r="P34" s="42">
        <f>VLOOKUP("前"&amp;$B33&amp;O$39,'１部対戦表'!$S$1:$V$143,3,FALSE)</f>
        <v>2</v>
      </c>
      <c r="Q34" s="43" t="s">
        <v>85</v>
      </c>
      <c r="R34" s="41" t="s">
        <v>84</v>
      </c>
      <c r="S34" s="42">
        <f>VLOOKUP("前"&amp;$B33&amp;T$39,'１部対戦表'!$S$1:$V$143,2,FALSE)</f>
        <v>0</v>
      </c>
      <c r="T34" s="42" t="str">
        <f>IF(S34&lt;&gt;"",IF(S34&gt;U34,"○",IF(S34&lt;U34,"●","△")),"-")</f>
        <v>●</v>
      </c>
      <c r="U34" s="42">
        <f>VLOOKUP("前"&amp;$B33&amp;T$39,'１部対戦表'!$S$1:$V$143,3,FALSE)</f>
        <v>3</v>
      </c>
      <c r="V34" s="43" t="s">
        <v>85</v>
      </c>
      <c r="W34" s="41" t="s">
        <v>84</v>
      </c>
      <c r="X34" s="42">
        <f>VLOOKUP("前"&amp;$B33&amp;Y$39,'１部対戦表'!$S$1:$V$143,2,FALSE)</f>
        <v>2</v>
      </c>
      <c r="Y34" s="42" t="str">
        <f>IF(X34&lt;&gt;"",IF(X34&gt;Z34,"○",IF(X34&lt;Z34,"●","△")),"-")</f>
        <v>●</v>
      </c>
      <c r="Z34" s="42">
        <f>VLOOKUP("前"&amp;$B33&amp;Y$39,'１部対戦表'!$S$1:$V$143,3,FALSE)</f>
        <v>3</v>
      </c>
      <c r="AA34" s="43" t="s">
        <v>85</v>
      </c>
      <c r="AB34" s="41" t="s">
        <v>84</v>
      </c>
      <c r="AC34" s="42">
        <f>VLOOKUP("前"&amp;$B33&amp;AD$39,'１部対戦表'!$S$1:$V$143,2,FALSE)</f>
        <v>3</v>
      </c>
      <c r="AD34" s="42" t="str">
        <f>IF(AC34&lt;&gt;"",IF(AC34&gt;AE34,"○",IF(AC34&lt;AE34,"●","△")),"-")</f>
        <v>△</v>
      </c>
      <c r="AE34" s="42">
        <f>VLOOKUP("前"&amp;$B33&amp;AD$39,'１部対戦表'!$S$1:$V$143,3,FALSE)</f>
        <v>3</v>
      </c>
      <c r="AF34" s="43" t="s">
        <v>85</v>
      </c>
      <c r="AG34" s="41" t="s">
        <v>84</v>
      </c>
      <c r="AH34" s="42">
        <f>VLOOKUP("前"&amp;$B33&amp;AI$39,'１部対戦表'!$S$1:$V$143,2,FALSE)</f>
        <v>2</v>
      </c>
      <c r="AI34" s="42" t="str">
        <f>IF(AH34&lt;&gt;"",IF(AH34&gt;AJ34,"○",IF(AH34&lt;AJ34,"●","△")),"-")</f>
        <v>●</v>
      </c>
      <c r="AJ34" s="42">
        <f>VLOOKUP("前"&amp;$B33&amp;AI$39,'１部対戦表'!$S$1:$V$143,3,FALSE)</f>
        <v>3</v>
      </c>
      <c r="AK34" s="43" t="s">
        <v>85</v>
      </c>
      <c r="AL34" s="236"/>
      <c r="AM34" s="237"/>
      <c r="AN34" s="237"/>
      <c r="AO34" s="237"/>
      <c r="AP34" s="267"/>
      <c r="AQ34" s="223"/>
      <c r="AR34" s="214"/>
      <c r="AS34" s="214"/>
      <c r="AT34" s="217"/>
      <c r="AU34" s="212"/>
      <c r="AV34" s="212"/>
      <c r="AW34" s="213"/>
      <c r="AX34" s="227"/>
      <c r="AZ34" s="263"/>
      <c r="BA34" s="61"/>
      <c r="BB34" s="274"/>
      <c r="BC34" s="61"/>
      <c r="BD34" s="32">
        <f>COUNTIF($C33:$AP36,"○")</f>
        <v>0</v>
      </c>
      <c r="BE34" s="32">
        <f>COUNTIF($C33:$AP36,"△")</f>
        <v>1</v>
      </c>
      <c r="BF34" s="32">
        <f>COUNTIF($C33:$AP36,"●")</f>
        <v>6</v>
      </c>
      <c r="BG34" s="67">
        <f>BD34*3+BE34</f>
        <v>1</v>
      </c>
      <c r="BH34" s="30"/>
      <c r="BI34" s="30"/>
      <c r="BJ34" s="30"/>
      <c r="BK34" s="63">
        <f>IF(F34&lt;&gt;"",F34,0)</f>
        <v>5</v>
      </c>
      <c r="BL34" s="63">
        <f>IF(K34&lt;&gt;"",K34,0)</f>
        <v>7</v>
      </c>
      <c r="BM34" s="63">
        <f>IF(P34&lt;&gt;"",P34,0)</f>
        <v>2</v>
      </c>
      <c r="BN34" s="63">
        <f>IF(U34&lt;&gt;"",U34,0)</f>
        <v>3</v>
      </c>
      <c r="BO34" s="63">
        <f>IF(Z34&lt;&gt;"",Z34,0)</f>
        <v>3</v>
      </c>
      <c r="BP34" s="63">
        <f>IF(AE34&lt;&gt;"",AE34,0)</f>
        <v>3</v>
      </c>
      <c r="BQ34" s="63">
        <f>IF(AJ34&lt;&gt;"",AJ34,0)</f>
        <v>3</v>
      </c>
      <c r="BR34" s="63">
        <f>IF(AO34&lt;&gt;"",AO34,0)</f>
        <v>0</v>
      </c>
    </row>
    <row r="35" spans="2:70" ht="24" customHeight="1" thickBot="1">
      <c r="B35" s="231"/>
      <c r="C35" s="230">
        <f>VLOOKUP("後"&amp;$B33&amp;E$39,'１部対戦表'!$S$1:$V$143,4,FALSE)</f>
        <v>40427</v>
      </c>
      <c r="D35" s="204"/>
      <c r="E35" s="204"/>
      <c r="F35" s="204"/>
      <c r="G35" s="205"/>
      <c r="H35" s="203">
        <f>VLOOKUP("後"&amp;$B33&amp;J$39,'１部対戦表'!$S$1:$V$143,4,FALSE)</f>
        <v>40441</v>
      </c>
      <c r="I35" s="204"/>
      <c r="J35" s="204"/>
      <c r="K35" s="204"/>
      <c r="L35" s="205"/>
      <c r="M35" s="203">
        <f>VLOOKUP("後"&amp;$B33&amp;O$39,'１部対戦表'!$S$1:$V$143,4,FALSE)</f>
        <v>40455</v>
      </c>
      <c r="N35" s="204"/>
      <c r="O35" s="204"/>
      <c r="P35" s="204"/>
      <c r="Q35" s="205"/>
      <c r="R35" s="203">
        <f>VLOOKUP("後"&amp;$B33&amp;T$39,'１部対戦表'!$S$1:$V$143,4,FALSE)</f>
        <v>40462</v>
      </c>
      <c r="S35" s="204"/>
      <c r="T35" s="204"/>
      <c r="U35" s="204"/>
      <c r="V35" s="205"/>
      <c r="W35" s="203">
        <f>VLOOKUP("後"&amp;$B33&amp;Y$39,'１部対戦表'!$S$1:$V$143,4,FALSE)</f>
        <v>40469</v>
      </c>
      <c r="X35" s="204"/>
      <c r="Y35" s="204"/>
      <c r="Z35" s="204"/>
      <c r="AA35" s="205"/>
      <c r="AB35" s="203">
        <f>VLOOKUP("後"&amp;$B33&amp;AD$39,'１部対戦表'!$S$1:$V$143,4,FALSE)</f>
        <v>40511</v>
      </c>
      <c r="AC35" s="204"/>
      <c r="AD35" s="204"/>
      <c r="AE35" s="204"/>
      <c r="AF35" s="205"/>
      <c r="AG35" s="203">
        <f>VLOOKUP("後"&amp;$B33&amp;AI$39,'１部対戦表'!$S$1:$V$143,4,FALSE)</f>
        <v>40532</v>
      </c>
      <c r="AH35" s="204"/>
      <c r="AI35" s="204"/>
      <c r="AJ35" s="204"/>
      <c r="AK35" s="205"/>
      <c r="AL35" s="236"/>
      <c r="AM35" s="237"/>
      <c r="AN35" s="237"/>
      <c r="AO35" s="237"/>
      <c r="AP35" s="267"/>
      <c r="AQ35" s="223"/>
      <c r="AR35" s="214"/>
      <c r="AS35" s="214"/>
      <c r="AT35" s="217"/>
      <c r="AU35" s="212"/>
      <c r="AV35" s="212"/>
      <c r="AW35" s="213"/>
      <c r="AX35" s="227"/>
      <c r="AZ35" s="264"/>
      <c r="BA35" s="61"/>
      <c r="BB35" s="275"/>
      <c r="BC35" s="61"/>
      <c r="BD35" s="75" t="s">
        <v>96</v>
      </c>
      <c r="BE35" s="75" t="s">
        <v>97</v>
      </c>
      <c r="BF35" s="75" t="s">
        <v>98</v>
      </c>
      <c r="BG35" s="31"/>
      <c r="BH35" s="31" t="s">
        <v>104</v>
      </c>
      <c r="BI35" s="65">
        <f>IF(AND(BD34=0,BE34=0,BF34=0),0,AT33*1000+AW33+IF(BB34=$BD$4,100,0)+IF(BB34=$BF$4,-100,0))</f>
        <v>986</v>
      </c>
      <c r="BJ35" s="66"/>
      <c r="BK35" s="63">
        <f>IF(D36&lt;&gt;"",D36,0)</f>
        <v>0</v>
      </c>
      <c r="BL35" s="63">
        <f>IF(I36&lt;&gt;"",I36,0)</f>
        <v>0</v>
      </c>
      <c r="BM35" s="63">
        <f>IF(N36&lt;&gt;"",N36,0)</f>
        <v>0</v>
      </c>
      <c r="BN35" s="63">
        <f>IF(S36&lt;&gt;"",S36,0)</f>
        <v>0</v>
      </c>
      <c r="BO35" s="63">
        <f>IF(X36&lt;&gt;"",X36,0)</f>
        <v>0</v>
      </c>
      <c r="BP35" s="63">
        <f>IF(AC36&lt;&gt;"",AC36,0)</f>
        <v>0</v>
      </c>
      <c r="BQ35" s="63">
        <f>IF(AH36&lt;&gt;"",AH36,0)</f>
        <v>0</v>
      </c>
      <c r="BR35" s="63">
        <f>IF(AM36&lt;&gt;"",AM36,0)</f>
        <v>0</v>
      </c>
    </row>
    <row r="36" spans="2:70" ht="24" customHeight="1" thickBot="1">
      <c r="B36" s="265"/>
      <c r="C36" s="45" t="s">
        <v>84</v>
      </c>
      <c r="D36" s="46">
        <f>VLOOKUP("後"&amp;$B33&amp;E$39,'１部対戦表'!$S$1:$V$143,2,FALSE)</f>
      </c>
      <c r="E36" s="46">
        <f>IF(D36&lt;&gt;"",IF(D36&gt;F36,"○",IF(D36&lt;F36,"●","△")),"")</f>
      </c>
      <c r="F36" s="46">
        <f>VLOOKUP("後"&amp;$B33&amp;E$39,'１部対戦表'!$S$1:$V$143,3,FALSE)</f>
      </c>
      <c r="G36" s="47" t="s">
        <v>85</v>
      </c>
      <c r="H36" s="45" t="s">
        <v>84</v>
      </c>
      <c r="I36" s="46">
        <f>VLOOKUP("後"&amp;$B33&amp;J$39,'１部対戦表'!$S$1:$V$143,2,FALSE)</f>
      </c>
      <c r="J36" s="46">
        <f>IF(I36&lt;&gt;"",IF(I36&gt;K36,"○",IF(I36&lt;K36,"●","△")),"")</f>
      </c>
      <c r="K36" s="46">
        <f>VLOOKUP("後"&amp;$B33&amp;J$39,'１部対戦表'!$S$1:$V$143,3,FALSE)</f>
      </c>
      <c r="L36" s="47" t="s">
        <v>85</v>
      </c>
      <c r="M36" s="45" t="s">
        <v>84</v>
      </c>
      <c r="N36" s="46">
        <f>VLOOKUP("後"&amp;$B33&amp;O$39,'１部対戦表'!$S$1:$V$143,2,FALSE)</f>
      </c>
      <c r="O36" s="46">
        <f>IF(N36&lt;&gt;"",IF(N36&gt;P36,"○",IF(N36&lt;P36,"●","△")),"")</f>
      </c>
      <c r="P36" s="46">
        <f>VLOOKUP("後"&amp;$B33&amp;O$39,'１部対戦表'!$S$1:$V$143,3,FALSE)</f>
      </c>
      <c r="Q36" s="47" t="s">
        <v>85</v>
      </c>
      <c r="R36" s="45" t="s">
        <v>84</v>
      </c>
      <c r="S36" s="46">
        <f>VLOOKUP("後"&amp;$B33&amp;T$39,'１部対戦表'!$S$1:$V$143,2,FALSE)</f>
      </c>
      <c r="T36" s="46">
        <f>IF(S36&lt;&gt;"",IF(S36&gt;U36,"○",IF(S36&lt;U36,"●","△")),"")</f>
      </c>
      <c r="U36" s="46">
        <f>VLOOKUP("後"&amp;$B33&amp;T$39,'１部対戦表'!$S$1:$V$143,3,FALSE)</f>
      </c>
      <c r="V36" s="47" t="s">
        <v>85</v>
      </c>
      <c r="W36" s="45" t="s">
        <v>84</v>
      </c>
      <c r="X36" s="46">
        <f>VLOOKUP("後"&amp;$B33&amp;Y$39,'１部対戦表'!$S$1:$V$143,2,FALSE)</f>
      </c>
      <c r="Y36" s="46">
        <f>IF(X36&lt;&gt;"",IF(X36&gt;Z36,"○",IF(X36&lt;Z36,"●","△")),"")</f>
      </c>
      <c r="Z36" s="46">
        <f>VLOOKUP("後"&amp;$B33&amp;Y$39,'１部対戦表'!$S$1:$V$143,3,FALSE)</f>
      </c>
      <c r="AA36" s="47" t="s">
        <v>85</v>
      </c>
      <c r="AB36" s="45" t="s">
        <v>84</v>
      </c>
      <c r="AC36" s="46">
        <f>VLOOKUP("後"&amp;$B33&amp;AD$39,'１部対戦表'!$S$1:$V$143,2,FALSE)</f>
      </c>
      <c r="AD36" s="46">
        <f>IF(AC36&lt;&gt;"",IF(AC36&gt;AE36,"○",IF(AC36&lt;AE36,"●","△")),"")</f>
      </c>
      <c r="AE36" s="46">
        <f>VLOOKUP("後"&amp;$B33&amp;AD$39,'１部対戦表'!$S$1:$V$143,3,FALSE)</f>
      </c>
      <c r="AF36" s="47" t="s">
        <v>85</v>
      </c>
      <c r="AG36" s="45" t="s">
        <v>84</v>
      </c>
      <c r="AH36" s="46">
        <f>VLOOKUP("後"&amp;$B33&amp;AI$39,'１部対戦表'!$S$1:$V$143,2,FALSE)</f>
      </c>
      <c r="AI36" s="46">
        <f>IF(AH36&lt;&gt;"",IF(AH36&gt;AJ36,"○",IF(AH36&lt;AJ36,"●","△")),"")</f>
      </c>
      <c r="AJ36" s="46">
        <f>VLOOKUP("後"&amp;$B33&amp;AI$39,'１部対戦表'!$S$1:$V$143,3,FALSE)</f>
      </c>
      <c r="AK36" s="47" t="s">
        <v>85</v>
      </c>
      <c r="AL36" s="268"/>
      <c r="AM36" s="269"/>
      <c r="AN36" s="269"/>
      <c r="AO36" s="269"/>
      <c r="AP36" s="270"/>
      <c r="AQ36" s="273"/>
      <c r="AR36" s="215"/>
      <c r="AS36" s="215"/>
      <c r="AT36" s="218"/>
      <c r="AU36" s="271"/>
      <c r="AV36" s="271"/>
      <c r="AW36" s="219"/>
      <c r="AX36" s="272"/>
      <c r="BD36" s="75">
        <f>SUM(BK33:BR33)+SUM(BK35:BR35)</f>
        <v>12</v>
      </c>
      <c r="BE36" s="75">
        <f>SUM(BK34:BR34)+SUM(BK36:BR36)</f>
        <v>26</v>
      </c>
      <c r="BF36" s="57">
        <f>+BD36-BE36</f>
        <v>-14</v>
      </c>
      <c r="BG36" s="31"/>
      <c r="BH36" s="31"/>
      <c r="BI36" s="31"/>
      <c r="BJ36" s="31"/>
      <c r="BK36" s="64">
        <f>IF(F36&lt;&gt;"",F36,0)</f>
        <v>0</v>
      </c>
      <c r="BL36" s="64">
        <f>IF(K36&lt;&gt;"",K36,0)</f>
        <v>0</v>
      </c>
      <c r="BM36" s="64">
        <f>IF(P36&lt;&gt;"",P36,0)</f>
        <v>0</v>
      </c>
      <c r="BN36" s="64">
        <f>IF(U36&lt;&gt;"",U36,0)</f>
        <v>0</v>
      </c>
      <c r="BO36" s="64">
        <f>IF(Z36&lt;&gt;"",Z36,0)</f>
        <v>0</v>
      </c>
      <c r="BP36" s="64">
        <f>IF(AE36&lt;&gt;"",AE36,0)</f>
        <v>0</v>
      </c>
      <c r="BQ36" s="64">
        <f>IF(AJ36&lt;&gt;"",AJ36,0)</f>
        <v>0</v>
      </c>
      <c r="BR36" s="64">
        <f>IF(AO36&lt;&gt;"",AO36,0)</f>
        <v>0</v>
      </c>
    </row>
    <row r="37" ht="30" customHeight="1">
      <c r="B37" s="87"/>
    </row>
    <row r="39" spans="2:50" ht="14.25">
      <c r="B39" s="11"/>
      <c r="C39" s="12"/>
      <c r="D39" s="12"/>
      <c r="E39" s="12" t="str">
        <f>+B5</f>
        <v>Ｂ</v>
      </c>
      <c r="F39" s="12"/>
      <c r="G39" s="12"/>
      <c r="H39" s="12"/>
      <c r="I39" s="12"/>
      <c r="J39" s="12" t="str">
        <f>+B9</f>
        <v>Ｆ</v>
      </c>
      <c r="K39" s="12"/>
      <c r="L39" s="12"/>
      <c r="M39" s="12"/>
      <c r="N39" s="12"/>
      <c r="O39" s="12" t="str">
        <f>+B13</f>
        <v>G</v>
      </c>
      <c r="P39" s="12"/>
      <c r="Q39" s="12"/>
      <c r="R39" s="12"/>
      <c r="S39" s="12"/>
      <c r="T39" s="12" t="str">
        <f>+B17</f>
        <v>Ａ</v>
      </c>
      <c r="U39" s="12"/>
      <c r="V39" s="12"/>
      <c r="W39" s="12"/>
      <c r="X39" s="12"/>
      <c r="Y39" s="12" t="str">
        <f>+B21</f>
        <v>Ｄ</v>
      </c>
      <c r="Z39" s="12"/>
      <c r="AA39" s="12"/>
      <c r="AB39" s="12"/>
      <c r="AC39" s="12"/>
      <c r="AD39" s="12" t="str">
        <f>+B25</f>
        <v>Ｅ</v>
      </c>
      <c r="AE39" s="12"/>
      <c r="AF39" s="12"/>
      <c r="AG39" s="12"/>
      <c r="AH39" s="12"/>
      <c r="AI39" s="12" t="str">
        <f>+B29</f>
        <v>Ｃ</v>
      </c>
      <c r="AJ39" s="12"/>
      <c r="AK39" s="12"/>
      <c r="AL39" s="12"/>
      <c r="AM39" s="12"/>
      <c r="AN39" s="12" t="str">
        <f>+B33</f>
        <v>H</v>
      </c>
      <c r="AO39" s="12"/>
      <c r="AP39" s="12"/>
      <c r="AQ39" s="11"/>
      <c r="AR39" s="12"/>
      <c r="AS39" s="12"/>
      <c r="AT39" s="12"/>
      <c r="AU39" s="12"/>
      <c r="AV39" s="12"/>
      <c r="AW39" s="12"/>
      <c r="AX39" s="13"/>
    </row>
    <row r="41" spans="2:7" ht="17.25">
      <c r="B41" s="69" t="s">
        <v>117</v>
      </c>
      <c r="C41" s="200">
        <f>VLOOKUP("前"&amp;$B41&amp;E$39,'１部対戦表'!$S$1:$V$143,4,FALSE)</f>
        <v>40343</v>
      </c>
      <c r="D41" s="201"/>
      <c r="E41" s="201"/>
      <c r="F41" s="201"/>
      <c r="G41" s="202"/>
    </row>
    <row r="42" spans="2:7" ht="17.25">
      <c r="B42" s="231" t="str">
        <f>VLOOKUP(B41,'参加チーム'!$B$5:$G$73,IF($AQ$3=1,3,4),FALSE)</f>
        <v>CROSS COLOURS</v>
      </c>
      <c r="C42" s="41" t="s">
        <v>84</v>
      </c>
      <c r="D42" s="42">
        <f>VLOOKUP("前"&amp;$B41&amp;E$39,'１部対戦表'!$S$1:$V$143,2,FALSE)</f>
        <v>1</v>
      </c>
      <c r="E42" s="42" t="str">
        <f>IF(D42&lt;&gt;"",IF(D42&gt;F42,"○",IF(D42&lt;F42,"●","△")),"-")</f>
        <v>●</v>
      </c>
      <c r="F42" s="42">
        <f>VLOOKUP("前"&amp;$B41&amp;E$39,'１部対戦表'!$S$1:$V$143,3,FALSE)</f>
        <v>5</v>
      </c>
      <c r="G42" s="43" t="s">
        <v>85</v>
      </c>
    </row>
    <row r="43" spans="2:7" ht="17.25">
      <c r="B43" s="231"/>
      <c r="C43" s="230">
        <f>VLOOKUP("後"&amp;$B41&amp;E$39,'１部対戦表'!$S$1:$V$143,4,FALSE)</f>
        <v>40427</v>
      </c>
      <c r="D43" s="204"/>
      <c r="E43" s="204"/>
      <c r="F43" s="204"/>
      <c r="G43" s="205"/>
    </row>
    <row r="44" spans="2:7" ht="18" thickBot="1">
      <c r="B44" s="265"/>
      <c r="C44" s="45" t="s">
        <v>84</v>
      </c>
      <c r="D44" s="46">
        <f>VLOOKUP("後"&amp;$B41&amp;E$39,'１部対戦表'!$S$1:$V$143,2,FALSE)</f>
      </c>
      <c r="E44" s="46">
        <f>IF(D44&lt;&gt;"",IF(D44&gt;F44,"○",IF(D44&lt;F44,"●","△")),"")</f>
      </c>
      <c r="F44" s="46">
        <f>VLOOKUP("後"&amp;$B41&amp;E$39,'１部対戦表'!$S$1:$V$143,3,FALSE)</f>
      </c>
      <c r="G44" s="47" t="s">
        <v>85</v>
      </c>
    </row>
    <row r="45" spans="2:7" ht="17.25">
      <c r="B45" s="111"/>
      <c r="C45" s="112"/>
      <c r="D45" s="112"/>
      <c r="E45" s="112"/>
      <c r="F45" s="112"/>
      <c r="G45" s="112"/>
    </row>
    <row r="46" spans="2:50" ht="17.25">
      <c r="B46" s="111"/>
      <c r="C46" s="112"/>
      <c r="D46" s="112"/>
      <c r="E46" s="112"/>
      <c r="F46" s="112"/>
      <c r="G46" s="112"/>
      <c r="AQ46" s="206" t="s">
        <v>123</v>
      </c>
      <c r="AR46" s="207"/>
      <c r="AS46" s="207"/>
      <c r="AT46" s="207"/>
      <c r="AU46" s="207"/>
      <c r="AV46" s="207"/>
      <c r="AW46" s="207"/>
      <c r="AX46" s="208"/>
    </row>
    <row r="47" spans="2:50" ht="17.25">
      <c r="B47" s="111"/>
      <c r="C47" s="112"/>
      <c r="D47" s="112"/>
      <c r="E47" s="112"/>
      <c r="F47" s="112"/>
      <c r="G47" s="112"/>
      <c r="AQ47" s="209"/>
      <c r="AR47" s="210"/>
      <c r="AS47" s="210"/>
      <c r="AT47" s="210"/>
      <c r="AU47" s="210"/>
      <c r="AV47" s="210"/>
      <c r="AW47" s="210"/>
      <c r="AX47" s="211"/>
    </row>
    <row r="48" spans="2:50" ht="17.25">
      <c r="B48" s="111"/>
      <c r="C48" s="112"/>
      <c r="D48" s="112"/>
      <c r="E48" s="112"/>
      <c r="F48" s="112"/>
      <c r="G48" s="112"/>
      <c r="AQ48" s="57"/>
      <c r="AR48" s="37"/>
      <c r="AS48" s="37"/>
      <c r="AT48" s="37"/>
      <c r="AU48" s="37"/>
      <c r="AV48" s="37"/>
      <c r="AW48" s="37"/>
      <c r="AX48" s="57"/>
    </row>
    <row r="49" spans="2:50" ht="17.25">
      <c r="B49" s="111"/>
      <c r="C49" s="112"/>
      <c r="D49" s="112"/>
      <c r="E49" s="112"/>
      <c r="F49" s="112"/>
      <c r="G49" s="112"/>
      <c r="AQ49" s="57" t="s">
        <v>82</v>
      </c>
      <c r="AR49" s="37" t="s">
        <v>108</v>
      </c>
      <c r="AS49" s="37"/>
      <c r="AT49" s="37"/>
      <c r="AU49" s="37"/>
      <c r="AV49" s="37"/>
      <c r="AW49" s="37"/>
      <c r="AX49" s="57" t="s">
        <v>122</v>
      </c>
    </row>
    <row r="50" spans="2:50" ht="17.25">
      <c r="B50" s="111"/>
      <c r="C50" s="112"/>
      <c r="D50" s="112"/>
      <c r="E50" s="112"/>
      <c r="F50" s="112"/>
      <c r="G50" s="112"/>
      <c r="AQ50" s="71">
        <f>+AX5</f>
        <v>1</v>
      </c>
      <c r="AR50" s="70" t="str">
        <f>+B6</f>
        <v>ヴォスクオーレ</v>
      </c>
      <c r="AS50" s="70"/>
      <c r="AT50" s="70"/>
      <c r="AU50" s="70"/>
      <c r="AV50" s="70"/>
      <c r="AW50" s="70"/>
      <c r="AX50" s="71" t="str">
        <f>+B5</f>
        <v>Ｂ</v>
      </c>
    </row>
    <row r="51" spans="43:50" ht="14.25">
      <c r="AQ51" s="71">
        <f>+AX9</f>
        <v>2</v>
      </c>
      <c r="AR51" s="70" t="str">
        <f>+B10</f>
        <v>volviendo</v>
      </c>
      <c r="AS51" s="70"/>
      <c r="AT51" s="70"/>
      <c r="AU51" s="70"/>
      <c r="AV51" s="70"/>
      <c r="AW51" s="70"/>
      <c r="AX51" s="71" t="str">
        <f>+B9</f>
        <v>Ｆ</v>
      </c>
    </row>
    <row r="52" spans="43:50" ht="14.25">
      <c r="AQ52" s="71">
        <f>+AX13</f>
        <v>3</v>
      </c>
      <c r="AR52" s="70" t="str">
        <f>+B14</f>
        <v>D-GUCCI</v>
      </c>
      <c r="AS52" s="70"/>
      <c r="AT52" s="70"/>
      <c r="AU52" s="70"/>
      <c r="AV52" s="70"/>
      <c r="AW52" s="70"/>
      <c r="AX52" s="71" t="str">
        <f>+B13</f>
        <v>G</v>
      </c>
    </row>
    <row r="53" spans="43:50" ht="14.25">
      <c r="AQ53" s="71">
        <f>+AX17</f>
        <v>4</v>
      </c>
      <c r="AR53" s="70" t="str">
        <f>+B18</f>
        <v>BANFF</v>
      </c>
      <c r="AS53" s="70"/>
      <c r="AT53" s="70"/>
      <c r="AU53" s="70"/>
      <c r="AV53" s="70"/>
      <c r="AW53" s="70"/>
      <c r="AX53" s="71" t="str">
        <f>+B17</f>
        <v>Ａ</v>
      </c>
    </row>
    <row r="54" spans="43:50" ht="14.25">
      <c r="AQ54" s="71">
        <f>+AX21</f>
        <v>5</v>
      </c>
      <c r="AR54" s="70" t="str">
        <f>+B22</f>
        <v>malva</v>
      </c>
      <c r="AS54" s="70"/>
      <c r="AT54" s="70"/>
      <c r="AU54" s="70"/>
      <c r="AV54" s="70"/>
      <c r="AW54" s="70"/>
      <c r="AX54" s="71" t="str">
        <f>+B21</f>
        <v>Ｄ</v>
      </c>
    </row>
    <row r="55" spans="43:50" ht="14.25">
      <c r="AQ55" s="71">
        <f>+AX25</f>
        <v>6</v>
      </c>
      <c r="AR55" s="70" t="str">
        <f>+B26</f>
        <v>Sabedoria</v>
      </c>
      <c r="AS55" s="70"/>
      <c r="AT55" s="70"/>
      <c r="AU55" s="70"/>
      <c r="AV55" s="70"/>
      <c r="AW55" s="70"/>
      <c r="AX55" s="71" t="str">
        <f>+B25</f>
        <v>Ｅ</v>
      </c>
    </row>
    <row r="56" spans="43:50" ht="14.25">
      <c r="AQ56" s="71">
        <f>+AX29</f>
        <v>7</v>
      </c>
      <c r="AR56" s="70" t="str">
        <f>+B30</f>
        <v>かちかち山</v>
      </c>
      <c r="AS56" s="70"/>
      <c r="AT56" s="70"/>
      <c r="AU56" s="70"/>
      <c r="AV56" s="70"/>
      <c r="AW56" s="70"/>
      <c r="AX56" s="71" t="str">
        <f>+B29</f>
        <v>Ｃ</v>
      </c>
    </row>
    <row r="57" spans="43:50" ht="14.25">
      <c r="AQ57" s="71">
        <f>+AX33</f>
        <v>8</v>
      </c>
      <c r="AR57" s="70" t="str">
        <f>+B34</f>
        <v>CROSS</v>
      </c>
      <c r="AS57" s="70"/>
      <c r="AT57" s="70"/>
      <c r="AU57" s="70"/>
      <c r="AV57" s="70"/>
      <c r="AW57" s="70"/>
      <c r="AX57" s="71" t="str">
        <f>+B33</f>
        <v>H</v>
      </c>
    </row>
    <row r="59" spans="43:50" ht="21" customHeight="1">
      <c r="AQ59" s="276" t="s">
        <v>124</v>
      </c>
      <c r="AR59" s="207"/>
      <c r="AS59" s="207"/>
      <c r="AT59" s="207"/>
      <c r="AU59" s="207"/>
      <c r="AV59" s="207"/>
      <c r="AW59" s="207"/>
      <c r="AX59" s="208"/>
    </row>
    <row r="60" spans="43:50" ht="21" customHeight="1">
      <c r="AQ60" s="277"/>
      <c r="AR60" s="278"/>
      <c r="AS60" s="278"/>
      <c r="AT60" s="278"/>
      <c r="AU60" s="278"/>
      <c r="AV60" s="278"/>
      <c r="AW60" s="278"/>
      <c r="AX60" s="279"/>
    </row>
    <row r="61" spans="43:50" ht="21" customHeight="1">
      <c r="AQ61" s="209"/>
      <c r="AR61" s="210"/>
      <c r="AS61" s="210"/>
      <c r="AT61" s="210"/>
      <c r="AU61" s="210"/>
      <c r="AV61" s="210"/>
      <c r="AW61" s="210"/>
      <c r="AX61" s="211"/>
    </row>
    <row r="63" spans="43:50" ht="14.25">
      <c r="AQ63" s="73">
        <v>1</v>
      </c>
      <c r="AR63" s="72" t="s">
        <v>157</v>
      </c>
      <c r="AS63" s="72"/>
      <c r="AT63" s="72"/>
      <c r="AU63" s="72"/>
      <c r="AV63" s="72"/>
      <c r="AW63" s="72"/>
      <c r="AX63" s="73" t="s">
        <v>45</v>
      </c>
    </row>
    <row r="64" spans="43:50" ht="14.25">
      <c r="AQ64" s="73">
        <v>2</v>
      </c>
      <c r="AR64" s="72" t="s">
        <v>145</v>
      </c>
      <c r="AS64" s="72"/>
      <c r="AT64" s="72"/>
      <c r="AU64" s="72"/>
      <c r="AV64" s="72"/>
      <c r="AW64" s="72"/>
      <c r="AX64" s="73" t="s">
        <v>46</v>
      </c>
    </row>
    <row r="65" spans="43:50" ht="14.25">
      <c r="AQ65" s="73">
        <v>3</v>
      </c>
      <c r="AR65" s="72" t="s">
        <v>5</v>
      </c>
      <c r="AS65" s="72"/>
      <c r="AT65" s="72"/>
      <c r="AU65" s="72"/>
      <c r="AV65" s="72"/>
      <c r="AW65" s="72"/>
      <c r="AX65" s="73" t="s">
        <v>116</v>
      </c>
    </row>
    <row r="66" spans="43:50" ht="14.25">
      <c r="AQ66" s="73">
        <v>4</v>
      </c>
      <c r="AR66" s="72" t="s">
        <v>151</v>
      </c>
      <c r="AS66" s="72"/>
      <c r="AT66" s="72"/>
      <c r="AU66" s="72"/>
      <c r="AV66" s="72"/>
      <c r="AW66" s="72"/>
      <c r="AX66" s="73" t="s">
        <v>47</v>
      </c>
    </row>
    <row r="67" spans="43:50" ht="14.25">
      <c r="AQ67" s="73">
        <v>5</v>
      </c>
      <c r="AR67" s="72" t="s">
        <v>149</v>
      </c>
      <c r="AS67" s="72"/>
      <c r="AT67" s="72"/>
      <c r="AU67" s="72"/>
      <c r="AV67" s="72"/>
      <c r="AW67" s="72"/>
      <c r="AX67" s="73" t="s">
        <v>48</v>
      </c>
    </row>
    <row r="68" spans="43:50" ht="14.25">
      <c r="AQ68" s="73">
        <v>6</v>
      </c>
      <c r="AR68" s="72" t="s">
        <v>50</v>
      </c>
      <c r="AS68" s="72"/>
      <c r="AT68" s="72"/>
      <c r="AU68" s="72"/>
      <c r="AV68" s="72"/>
      <c r="AW68" s="72"/>
      <c r="AX68" s="73" t="s">
        <v>44</v>
      </c>
    </row>
    <row r="69" spans="43:50" ht="14.25">
      <c r="AQ69" s="73">
        <v>7</v>
      </c>
      <c r="AR69" s="72" t="s">
        <v>144</v>
      </c>
      <c r="AS69" s="72"/>
      <c r="AT69" s="72"/>
      <c r="AU69" s="72"/>
      <c r="AV69" s="72"/>
      <c r="AW69" s="72"/>
      <c r="AX69" s="73" t="s">
        <v>43</v>
      </c>
    </row>
    <row r="70" spans="43:50" ht="14.25">
      <c r="AQ70" s="73">
        <v>8</v>
      </c>
      <c r="AR70" s="72" t="s">
        <v>153</v>
      </c>
      <c r="AS70" s="72"/>
      <c r="AT70" s="72"/>
      <c r="AU70" s="72"/>
      <c r="AV70" s="72"/>
      <c r="AW70" s="72"/>
      <c r="AX70" s="73" t="s">
        <v>117</v>
      </c>
    </row>
  </sheetData>
  <sheetProtection sheet="1" objects="1" scenarios="1" sort="0"/>
  <mergeCells count="221">
    <mergeCell ref="AW9:AW12"/>
    <mergeCell ref="AV5:AV8"/>
    <mergeCell ref="AU5:AU8"/>
    <mergeCell ref="AT5:AT8"/>
    <mergeCell ref="AV9:AV12"/>
    <mergeCell ref="AU9:AU12"/>
    <mergeCell ref="AQ59:AX61"/>
    <mergeCell ref="AZ18:AZ19"/>
    <mergeCell ref="AZ6:AZ7"/>
    <mergeCell ref="AZ10:AZ11"/>
    <mergeCell ref="AZ14:AZ15"/>
    <mergeCell ref="AX13:AX16"/>
    <mergeCell ref="AX5:AX8"/>
    <mergeCell ref="AW5:AW8"/>
    <mergeCell ref="AX9:AX12"/>
    <mergeCell ref="AW13:AW16"/>
    <mergeCell ref="BB30:BB31"/>
    <mergeCell ref="BB34:BB35"/>
    <mergeCell ref="BB6:BB7"/>
    <mergeCell ref="BB10:BB11"/>
    <mergeCell ref="BB14:BB15"/>
    <mergeCell ref="BB18:BB19"/>
    <mergeCell ref="BB22:BB23"/>
    <mergeCell ref="BB26:BB27"/>
    <mergeCell ref="AG35:AK35"/>
    <mergeCell ref="AX21:AX24"/>
    <mergeCell ref="AQ25:AQ28"/>
    <mergeCell ref="AG21:AK21"/>
    <mergeCell ref="AG23:AK23"/>
    <mergeCell ref="AS29:AS32"/>
    <mergeCell ref="AT29:AT32"/>
    <mergeCell ref="M33:Q33"/>
    <mergeCell ref="W35:AA35"/>
    <mergeCell ref="R33:V33"/>
    <mergeCell ref="AB35:AF35"/>
    <mergeCell ref="W33:AA33"/>
    <mergeCell ref="B30:B32"/>
    <mergeCell ref="C31:G31"/>
    <mergeCell ref="H33:L33"/>
    <mergeCell ref="H35:L35"/>
    <mergeCell ref="C33:G33"/>
    <mergeCell ref="AG33:AK33"/>
    <mergeCell ref="R31:V31"/>
    <mergeCell ref="AB31:AF31"/>
    <mergeCell ref="W29:AA29"/>
    <mergeCell ref="W31:AA31"/>
    <mergeCell ref="AB33:AF33"/>
    <mergeCell ref="AG29:AK32"/>
    <mergeCell ref="AB29:AF29"/>
    <mergeCell ref="AZ34:AZ35"/>
    <mergeCell ref="AZ26:AZ27"/>
    <mergeCell ref="AZ30:AZ31"/>
    <mergeCell ref="AL33:AP36"/>
    <mergeCell ref="AL27:AP27"/>
    <mergeCell ref="AV33:AV36"/>
    <mergeCell ref="AU33:AU36"/>
    <mergeCell ref="AX33:AX36"/>
    <mergeCell ref="AQ33:AQ36"/>
    <mergeCell ref="AR33:AR36"/>
    <mergeCell ref="B42:B44"/>
    <mergeCell ref="C43:G43"/>
    <mergeCell ref="C41:G41"/>
    <mergeCell ref="R35:V35"/>
    <mergeCell ref="M35:Q35"/>
    <mergeCell ref="C35:G35"/>
    <mergeCell ref="B34:B36"/>
    <mergeCell ref="R25:V25"/>
    <mergeCell ref="AB23:AF23"/>
    <mergeCell ref="AG25:AK25"/>
    <mergeCell ref="AG27:AK27"/>
    <mergeCell ref="AB25:AF28"/>
    <mergeCell ref="H19:L19"/>
    <mergeCell ref="W27:AA27"/>
    <mergeCell ref="AV13:AV16"/>
    <mergeCell ref="AT13:AT16"/>
    <mergeCell ref="AQ21:AQ24"/>
    <mergeCell ref="AB19:AF19"/>
    <mergeCell ref="R15:V15"/>
    <mergeCell ref="W25:AA25"/>
    <mergeCell ref="AL25:AP25"/>
    <mergeCell ref="AS21:AS24"/>
    <mergeCell ref="AB17:AF17"/>
    <mergeCell ref="AG19:AK19"/>
    <mergeCell ref="AT17:AT20"/>
    <mergeCell ref="R21:V21"/>
    <mergeCell ref="AT21:AT24"/>
    <mergeCell ref="AB21:AF21"/>
    <mergeCell ref="AZ22:AZ23"/>
    <mergeCell ref="AV21:AV24"/>
    <mergeCell ref="AL23:AP23"/>
    <mergeCell ref="AX17:AX20"/>
    <mergeCell ref="AU17:AU20"/>
    <mergeCell ref="AU21:AU24"/>
    <mergeCell ref="AW21:AW24"/>
    <mergeCell ref="AQ17:AQ20"/>
    <mergeCell ref="AL17:AP17"/>
    <mergeCell ref="AL19:AP19"/>
    <mergeCell ref="AR17:AR20"/>
    <mergeCell ref="AS17:AS20"/>
    <mergeCell ref="R23:V23"/>
    <mergeCell ref="H21:L21"/>
    <mergeCell ref="W21:AA24"/>
    <mergeCell ref="AR21:AR24"/>
    <mergeCell ref="AL21:AP21"/>
    <mergeCell ref="H23:L23"/>
    <mergeCell ref="M21:Q21"/>
    <mergeCell ref="AW17:AW20"/>
    <mergeCell ref="AU13:AU16"/>
    <mergeCell ref="AV17:AV20"/>
    <mergeCell ref="W19:AA19"/>
    <mergeCell ref="AR13:AR16"/>
    <mergeCell ref="AS13:AS16"/>
    <mergeCell ref="AL13:AP13"/>
    <mergeCell ref="AB15:AF15"/>
    <mergeCell ref="AB13:AF13"/>
    <mergeCell ref="AG17:AK17"/>
    <mergeCell ref="AQ13:AQ16"/>
    <mergeCell ref="AL15:AP15"/>
    <mergeCell ref="AG15:AK15"/>
    <mergeCell ref="AT9:AT12"/>
    <mergeCell ref="AS9:AS12"/>
    <mergeCell ref="AR9:AR12"/>
    <mergeCell ref="AG13:AK13"/>
    <mergeCell ref="AG11:AK11"/>
    <mergeCell ref="AL9:AP9"/>
    <mergeCell ref="AL11:AP11"/>
    <mergeCell ref="AR5:AR8"/>
    <mergeCell ref="AL5:AP5"/>
    <mergeCell ref="AL7:AP7"/>
    <mergeCell ref="AG9:AK9"/>
    <mergeCell ref="AQ9:AQ12"/>
    <mergeCell ref="AG4:AK4"/>
    <mergeCell ref="AG5:AK5"/>
    <mergeCell ref="AG7:AK7"/>
    <mergeCell ref="AB4:AF4"/>
    <mergeCell ref="AS5:AS8"/>
    <mergeCell ref="AQ5:AQ8"/>
    <mergeCell ref="AL4:AP4"/>
    <mergeCell ref="C5:G8"/>
    <mergeCell ref="H5:L5"/>
    <mergeCell ref="H7:L7"/>
    <mergeCell ref="M5:Q5"/>
    <mergeCell ref="AB7:AF7"/>
    <mergeCell ref="R4:V4"/>
    <mergeCell ref="AB5:AF5"/>
    <mergeCell ref="M11:Q11"/>
    <mergeCell ref="W17:AA17"/>
    <mergeCell ref="R13:V13"/>
    <mergeCell ref="W13:AA13"/>
    <mergeCell ref="AB9:AF9"/>
    <mergeCell ref="W7:AA7"/>
    <mergeCell ref="W4:AA4"/>
    <mergeCell ref="R11:V11"/>
    <mergeCell ref="W5:AA5"/>
    <mergeCell ref="R5:V5"/>
    <mergeCell ref="AB11:AF11"/>
    <mergeCell ref="W9:AA9"/>
    <mergeCell ref="B6:B8"/>
    <mergeCell ref="W15:AA15"/>
    <mergeCell ref="R17:V20"/>
    <mergeCell ref="C13:G13"/>
    <mergeCell ref="C15:G15"/>
    <mergeCell ref="H13:L13"/>
    <mergeCell ref="M7:Q7"/>
    <mergeCell ref="R9:V9"/>
    <mergeCell ref="R7:V7"/>
    <mergeCell ref="W11:AA11"/>
    <mergeCell ref="B22:B24"/>
    <mergeCell ref="H9:L12"/>
    <mergeCell ref="B10:B12"/>
    <mergeCell ref="B14:B16"/>
    <mergeCell ref="B18:B20"/>
    <mergeCell ref="H17:L17"/>
    <mergeCell ref="C23:G23"/>
    <mergeCell ref="C21:G21"/>
    <mergeCell ref="C19:G19"/>
    <mergeCell ref="C17:G17"/>
    <mergeCell ref="B26:B28"/>
    <mergeCell ref="M13:Q16"/>
    <mergeCell ref="C4:G4"/>
    <mergeCell ref="H4:L4"/>
    <mergeCell ref="M4:Q4"/>
    <mergeCell ref="C27:G27"/>
    <mergeCell ref="H27:L27"/>
    <mergeCell ref="M27:Q27"/>
    <mergeCell ref="C9:G9"/>
    <mergeCell ref="M9:Q9"/>
    <mergeCell ref="H31:L31"/>
    <mergeCell ref="M31:Q31"/>
    <mergeCell ref="C11:G11"/>
    <mergeCell ref="H15:L15"/>
    <mergeCell ref="M19:Q19"/>
    <mergeCell ref="M17:Q17"/>
    <mergeCell ref="M23:Q23"/>
    <mergeCell ref="C25:G25"/>
    <mergeCell ref="H25:L25"/>
    <mergeCell ref="M25:Q25"/>
    <mergeCell ref="AR25:AR28"/>
    <mergeCell ref="AX29:AX32"/>
    <mergeCell ref="AX25:AX28"/>
    <mergeCell ref="AS25:AS28"/>
    <mergeCell ref="AT25:AT28"/>
    <mergeCell ref="AW25:AW28"/>
    <mergeCell ref="AV25:AV28"/>
    <mergeCell ref="AU25:AU28"/>
    <mergeCell ref="AL29:AP29"/>
    <mergeCell ref="AL31:AP31"/>
    <mergeCell ref="AQ29:AQ32"/>
    <mergeCell ref="AR29:AR32"/>
    <mergeCell ref="AQ46:AX47"/>
    <mergeCell ref="AU29:AU32"/>
    <mergeCell ref="AV29:AV32"/>
    <mergeCell ref="AW29:AW32"/>
    <mergeCell ref="AS33:AS36"/>
    <mergeCell ref="AT33:AT36"/>
    <mergeCell ref="AW33:AW36"/>
    <mergeCell ref="R29:V29"/>
    <mergeCell ref="C29:G29"/>
    <mergeCell ref="H29:L29"/>
    <mergeCell ref="R27:V27"/>
    <mergeCell ref="M29:Q29"/>
  </mergeCells>
  <conditionalFormatting sqref="BB6:BB7">
    <cfRule type="expression" priority="27" dxfId="0" stopIfTrue="1">
      <formula>$BB6=$BF$4</formula>
    </cfRule>
    <cfRule type="expression" priority="28" dxfId="0" stopIfTrue="1">
      <formula>$BB6=$BD$4</formula>
    </cfRule>
  </conditionalFormatting>
  <conditionalFormatting sqref="AZ26:AZ27">
    <cfRule type="expression" priority="26" dxfId="38" stopIfTrue="1">
      <formula>$AZ26&lt;&gt;0</formula>
    </cfRule>
  </conditionalFormatting>
  <conditionalFormatting sqref="AZ22:AZ23">
    <cfRule type="expression" priority="23" dxfId="38" stopIfTrue="1">
      <formula>$AZ22&lt;&gt;0</formula>
    </cfRule>
  </conditionalFormatting>
  <conditionalFormatting sqref="AZ30:AZ31">
    <cfRule type="expression" priority="20" dxfId="38" stopIfTrue="1">
      <formula>$AZ30&lt;&gt;0</formula>
    </cfRule>
  </conditionalFormatting>
  <conditionalFormatting sqref="AZ34:AZ35">
    <cfRule type="expression" priority="19" dxfId="38" stopIfTrue="1">
      <formula>$AZ34&lt;&gt;0</formula>
    </cfRule>
  </conditionalFormatting>
  <conditionalFormatting sqref="AZ14:AZ15">
    <cfRule type="expression" priority="18" dxfId="38" stopIfTrue="1">
      <formula>$AZ14&lt;&gt;0</formula>
    </cfRule>
  </conditionalFormatting>
  <conditionalFormatting sqref="AZ10:AZ11">
    <cfRule type="expression" priority="17" dxfId="38" stopIfTrue="1">
      <formula>$AZ10&lt;&gt;0</formula>
    </cfRule>
  </conditionalFormatting>
  <conditionalFormatting sqref="AZ6:AZ7">
    <cfRule type="expression" priority="16" dxfId="38" stopIfTrue="1">
      <formula>$AZ6&lt;&gt;0</formula>
    </cfRule>
  </conditionalFormatting>
  <conditionalFormatting sqref="AZ18:AZ19">
    <cfRule type="expression" priority="15" dxfId="38" stopIfTrue="1">
      <formula>$AZ18&lt;&gt;0</formula>
    </cfRule>
  </conditionalFormatting>
  <conditionalFormatting sqref="BB10:BB11">
    <cfRule type="expression" priority="13" dxfId="0" stopIfTrue="1">
      <formula>$BB10=$BF$4</formula>
    </cfRule>
    <cfRule type="expression" priority="14" dxfId="0" stopIfTrue="1">
      <formula>$BB10=$BD$4</formula>
    </cfRule>
  </conditionalFormatting>
  <conditionalFormatting sqref="BB14:BB15">
    <cfRule type="expression" priority="11" dxfId="0" stopIfTrue="1">
      <formula>$BB14=$BF$4</formula>
    </cfRule>
    <cfRule type="expression" priority="12" dxfId="0" stopIfTrue="1">
      <formula>$BB14=$BD$4</formula>
    </cfRule>
  </conditionalFormatting>
  <conditionalFormatting sqref="BB22:BB23">
    <cfRule type="expression" priority="9" dxfId="0" stopIfTrue="1">
      <formula>$BB22=$BF$4</formula>
    </cfRule>
    <cfRule type="expression" priority="10" dxfId="0" stopIfTrue="1">
      <formula>$BB22=$BD$4</formula>
    </cfRule>
  </conditionalFormatting>
  <conditionalFormatting sqref="BB26:BB27">
    <cfRule type="expression" priority="7" dxfId="0" stopIfTrue="1">
      <formula>$BB26=$BF$4</formula>
    </cfRule>
    <cfRule type="expression" priority="8" dxfId="0" stopIfTrue="1">
      <formula>$BB26=$BD$4</formula>
    </cfRule>
  </conditionalFormatting>
  <conditionalFormatting sqref="BB30:BB31">
    <cfRule type="expression" priority="5" dxfId="0" stopIfTrue="1">
      <formula>$BB30=$BF$4</formula>
    </cfRule>
    <cfRule type="expression" priority="6" dxfId="0" stopIfTrue="1">
      <formula>$BB30=$BD$4</formula>
    </cfRule>
  </conditionalFormatting>
  <conditionalFormatting sqref="BB34:BB35">
    <cfRule type="expression" priority="3" dxfId="0" stopIfTrue="1">
      <formula>$BB34=$BF$4</formula>
    </cfRule>
    <cfRule type="expression" priority="4" dxfId="0" stopIfTrue="1">
      <formula>$BB34=$BD$4</formula>
    </cfRule>
  </conditionalFormatting>
  <conditionalFormatting sqref="BB18:BB19">
    <cfRule type="expression" priority="1" dxfId="0" stopIfTrue="1">
      <formula>$BB18=$BF$4</formula>
    </cfRule>
    <cfRule type="expression" priority="2" dxfId="0" stopIfTrue="1">
      <formula>$BB18=$BD$4</formula>
    </cfRule>
  </conditionalFormatting>
  <dataValidations count="1">
    <dataValidation type="list" allowBlank="1" showInputMessage="1" showErrorMessage="1" sqref="BB6:BB7 BB10:BB11 BB14:BB15 BB22:BB23 BB26:BB27 BB30:BB31 BB34:BB35 BB18:BB19">
      <formula1>"　,○,●"</formula1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S143"/>
  <sheetViews>
    <sheetView view="pageBreakPreview" zoomScale="70" zoomScaleNormal="70" zoomScaleSheetLayoutView="70" zoomScalePageLayoutView="0" workbookViewId="0" topLeftCell="A62">
      <selection activeCell="AK4" sqref="AK4"/>
    </sheetView>
  </sheetViews>
  <sheetFormatPr defaultColWidth="8.796875" defaultRowHeight="15"/>
  <cols>
    <col min="1" max="1" width="9" style="14" customWidth="1"/>
    <col min="2" max="2" width="9.5" style="14" bestFit="1" customWidth="1"/>
    <col min="3" max="3" width="10.59765625" style="14" customWidth="1"/>
    <col min="4" max="4" width="4.59765625" style="14" customWidth="1"/>
    <col min="5" max="6" width="6.59765625" style="14" customWidth="1"/>
    <col min="7" max="7" width="4.59765625" style="14" customWidth="1"/>
    <col min="8" max="8" width="14.59765625" style="14" customWidth="1"/>
    <col min="9" max="13" width="3.59765625" style="14" customWidth="1"/>
    <col min="14" max="14" width="4.59765625" style="14" customWidth="1"/>
    <col min="15" max="15" width="14.59765625" style="14" customWidth="1"/>
    <col min="16" max="16" width="12.59765625" style="14" customWidth="1"/>
    <col min="17" max="17" width="10.59765625" style="98" customWidth="1"/>
    <col min="18" max="18" width="3.8984375" style="14" customWidth="1"/>
    <col min="19" max="19" width="11.19921875" style="14" hidden="1" customWidth="1"/>
    <col min="20" max="21" width="5.19921875" style="14" hidden="1" customWidth="1"/>
    <col min="22" max="22" width="9.5" style="14" hidden="1" customWidth="1"/>
    <col min="23" max="23" width="2.59765625" style="14" hidden="1" customWidth="1"/>
    <col min="24" max="24" width="4.59765625" style="14" hidden="1" customWidth="1"/>
    <col min="25" max="25" width="3.69921875" style="14" hidden="1" customWidth="1"/>
    <col min="26" max="26" width="9" style="14" hidden="1" customWidth="1"/>
    <col min="27" max="27" width="3.69921875" style="14" hidden="1" customWidth="1"/>
    <col min="28" max="28" width="10.3984375" style="14" hidden="1" customWidth="1"/>
    <col min="29" max="29" width="20.59765625" style="14" hidden="1" customWidth="1"/>
    <col min="30" max="33" width="4.59765625" style="14" hidden="1" customWidth="1"/>
    <col min="34" max="34" width="13.69921875" style="14" hidden="1" customWidth="1"/>
    <col min="35" max="35" width="0" style="14" hidden="1" customWidth="1"/>
    <col min="36" max="37" width="4.59765625" style="14" customWidth="1"/>
    <col min="38" max="39" width="6.59765625" style="14" customWidth="1"/>
    <col min="40" max="40" width="3.59765625" style="14" customWidth="1"/>
    <col min="41" max="41" width="6.59765625" style="14" customWidth="1"/>
    <col min="42" max="42" width="4.59765625" style="14" customWidth="1"/>
    <col min="43" max="43" width="3.59765625" style="14" customWidth="1"/>
    <col min="44" max="44" width="6.59765625" style="14" customWidth="1"/>
    <col min="45" max="16384" width="9" style="14" customWidth="1"/>
  </cols>
  <sheetData>
    <row r="1" spans="1:20" ht="28.5" customHeight="1">
      <c r="A1" s="34" t="s">
        <v>163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96"/>
      <c r="S1" s="15" t="s">
        <v>88</v>
      </c>
      <c r="T1" s="16"/>
    </row>
    <row r="2" spans="1:20" ht="28.5" customHeight="1" thickBot="1">
      <c r="A2" s="89" t="s">
        <v>99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>
        <f>+'１部'!AQ3</f>
        <v>1</v>
      </c>
      <c r="O2" s="79" t="str">
        <f>IF(N2=1,"略称表示","日本語略称表示")&amp;"（成績表からリンク）"</f>
        <v>略称表示（成績表からリンク）</v>
      </c>
      <c r="P2" s="92"/>
      <c r="Q2" s="97"/>
      <c r="S2" s="15"/>
      <c r="T2" s="16"/>
    </row>
    <row r="3" spans="1:28" ht="25.5" customHeight="1" thickBot="1">
      <c r="A3" s="93"/>
      <c r="B3" s="26" t="s">
        <v>52</v>
      </c>
      <c r="C3" s="80" t="s">
        <v>53</v>
      </c>
      <c r="D3" s="26" t="s">
        <v>89</v>
      </c>
      <c r="E3" s="26" t="s">
        <v>310</v>
      </c>
      <c r="F3" s="26" t="s">
        <v>54</v>
      </c>
      <c r="G3" s="27"/>
      <c r="H3" s="28" t="s">
        <v>90</v>
      </c>
      <c r="I3" s="299" t="s">
        <v>55</v>
      </c>
      <c r="J3" s="299"/>
      <c r="K3" s="299"/>
      <c r="L3" s="299"/>
      <c r="M3" s="299"/>
      <c r="N3" s="27"/>
      <c r="O3" s="28" t="s">
        <v>91</v>
      </c>
      <c r="P3" s="26" t="s">
        <v>118</v>
      </c>
      <c r="Q3" s="29" t="s">
        <v>51</v>
      </c>
      <c r="S3" s="16"/>
      <c r="T3" s="16"/>
      <c r="X3" s="14" t="s">
        <v>160</v>
      </c>
      <c r="AB3" s="14" t="s">
        <v>160</v>
      </c>
    </row>
    <row r="4" spans="1:34" ht="15.75" customHeight="1">
      <c r="A4" s="288">
        <v>1</v>
      </c>
      <c r="B4" s="313">
        <v>40315</v>
      </c>
      <c r="C4" s="310" t="s">
        <v>57</v>
      </c>
      <c r="D4" s="308">
        <v>1</v>
      </c>
      <c r="E4" s="280">
        <v>0.3958333333333333</v>
      </c>
      <c r="F4" s="306">
        <v>0.4375</v>
      </c>
      <c r="G4" s="84" t="s">
        <v>26</v>
      </c>
      <c r="H4" s="318" t="str">
        <f>VLOOKUP(G4,'参加チーム'!$B$5:$G$73,IF($N$2=1,4,5),FALSE)</f>
        <v>malva</v>
      </c>
      <c r="I4" s="300">
        <f>IF(J4&lt;&gt;"",J4+J5,"")</f>
        <v>2</v>
      </c>
      <c r="J4" s="123">
        <v>1</v>
      </c>
      <c r="K4" s="301" t="s">
        <v>86</v>
      </c>
      <c r="L4" s="123">
        <v>0</v>
      </c>
      <c r="M4" s="300">
        <f>IF(L4&lt;&gt;"",L4+L5,"")</f>
        <v>2</v>
      </c>
      <c r="N4" s="126" t="s">
        <v>28</v>
      </c>
      <c r="O4" s="318" t="str">
        <f>VLOOKUP(N4,'参加チーム'!$B$5:$G$73,IF($N$2=1,4,5),FALSE)</f>
        <v>Sabedoria</v>
      </c>
      <c r="P4" s="326" t="str">
        <f>+O4</f>
        <v>Sabedoria</v>
      </c>
      <c r="Q4" s="322" t="str">
        <f>+O4</f>
        <v>Sabedoria</v>
      </c>
      <c r="S4" s="17" t="str">
        <f>+"前"&amp;G4&amp;N4</f>
        <v>前ＤＥ</v>
      </c>
      <c r="T4" s="18">
        <f>IF(I4&lt;&gt;"",I4,"")</f>
        <v>2</v>
      </c>
      <c r="U4" s="18">
        <f>IF(M4&lt;&gt;"",M4,"")</f>
        <v>2</v>
      </c>
      <c r="V4" s="19">
        <f>+B4</f>
        <v>40315</v>
      </c>
      <c r="X4" s="117">
        <f aca="true" t="shared" si="0" ref="X4:X37">MONTH(V4)</f>
        <v>5</v>
      </c>
      <c r="Y4" s="117">
        <f aca="true" t="shared" si="1" ref="Y4:Y37">DAY(V4)</f>
        <v>18</v>
      </c>
      <c r="Z4" s="117" t="str">
        <f aca="true" t="shared" si="2" ref="Z4:Z37">IF(LEN(X4)=1," ","")&amp;X4&amp;"/"&amp;IF(LEN(Y4)=1," ","")&amp;Y4</f>
        <v> 5/18</v>
      </c>
      <c r="AA4" s="117" t="str">
        <f aca="true" t="shared" si="3" ref="AA4:AA37">IF(T4&gt;U4,"○",IF(T4&lt;U4,"●","△"))</f>
        <v>△</v>
      </c>
      <c r="AB4" s="14" t="str">
        <f>IF(T4&lt;&gt;"",H4,"")</f>
        <v>malva</v>
      </c>
      <c r="AC4" s="117" t="str">
        <f>+Z4&amp;" "&amp;AA4&amp;" "&amp;T4&amp;"-"&amp;U4&amp;" "&amp;O4</f>
        <v> 5/18 △ 2-2 Sabedoria</v>
      </c>
      <c r="AD4" s="14">
        <f>+J4</f>
        <v>1</v>
      </c>
      <c r="AE4" s="14">
        <f>+J5</f>
        <v>1</v>
      </c>
      <c r="AF4" s="14">
        <f>+L4</f>
        <v>0</v>
      </c>
      <c r="AG4" s="14">
        <f>+L5</f>
        <v>2</v>
      </c>
      <c r="AH4" s="121">
        <f>+V4</f>
        <v>40315</v>
      </c>
    </row>
    <row r="5" spans="1:34" ht="15.75" customHeight="1">
      <c r="A5" s="289"/>
      <c r="B5" s="292"/>
      <c r="C5" s="311"/>
      <c r="D5" s="309"/>
      <c r="E5" s="281"/>
      <c r="F5" s="307"/>
      <c r="G5" s="85" t="str">
        <f>LEFT(VLOOKUP(G4,'参加チーム'!$B$5:$G$73,6,FALSE),2)</f>
        <v>山形</v>
      </c>
      <c r="H5" s="317"/>
      <c r="I5" s="281"/>
      <c r="J5" s="116">
        <v>1</v>
      </c>
      <c r="K5" s="302"/>
      <c r="L5" s="116">
        <v>2</v>
      </c>
      <c r="M5" s="281"/>
      <c r="N5" s="85" t="str">
        <f>LEFT(VLOOKUP(N4,'参加チーム'!$B$5:$G$73,6,FALSE),2)</f>
        <v>岩手</v>
      </c>
      <c r="O5" s="317"/>
      <c r="P5" s="307"/>
      <c r="Q5" s="323"/>
      <c r="S5" s="20" t="str">
        <f>+"前"&amp;N4&amp;G4</f>
        <v>前ＥＤ</v>
      </c>
      <c r="T5" s="16">
        <f>IF(M4&lt;&gt;"",M4,"")</f>
        <v>2</v>
      </c>
      <c r="U5" s="16">
        <f>IF(I4&lt;&gt;"",I4,"")</f>
        <v>2</v>
      </c>
      <c r="V5" s="21">
        <f>+B4</f>
        <v>40315</v>
      </c>
      <c r="X5" s="117">
        <f t="shared" si="0"/>
        <v>5</v>
      </c>
      <c r="Y5" s="117">
        <f t="shared" si="1"/>
        <v>18</v>
      </c>
      <c r="Z5" s="117" t="str">
        <f t="shared" si="2"/>
        <v> 5/18</v>
      </c>
      <c r="AA5" s="117" t="str">
        <f t="shared" si="3"/>
        <v>△</v>
      </c>
      <c r="AB5" s="14" t="str">
        <f aca="true" t="shared" si="4" ref="AB5:AB11">IF(T5&lt;&gt;"",O4,"")</f>
        <v>Sabedoria</v>
      </c>
      <c r="AC5" s="117" t="str">
        <f>+Z5&amp;" "&amp;AA5&amp;" "&amp;T5&amp;"-"&amp;U5&amp;" "&amp;H4</f>
        <v> 5/18 △ 2-2 malva</v>
      </c>
      <c r="AD5" s="14">
        <f>+L4</f>
        <v>0</v>
      </c>
      <c r="AE5" s="14">
        <f>+L5</f>
        <v>2</v>
      </c>
      <c r="AF5" s="14">
        <f>+J4</f>
        <v>1</v>
      </c>
      <c r="AG5" s="14">
        <f>+J5</f>
        <v>1</v>
      </c>
      <c r="AH5" s="121">
        <f aca="true" t="shared" si="5" ref="AH5:AH61">+V5</f>
        <v>40315</v>
      </c>
    </row>
    <row r="6" spans="1:34" ht="15.75" customHeight="1">
      <c r="A6" s="289"/>
      <c r="B6" s="292"/>
      <c r="C6" s="311"/>
      <c r="D6" s="297">
        <v>2</v>
      </c>
      <c r="E6" s="282">
        <v>0.45138888888888895</v>
      </c>
      <c r="F6" s="312">
        <v>0.513888888888889</v>
      </c>
      <c r="G6" s="86" t="s">
        <v>25</v>
      </c>
      <c r="H6" s="316" t="str">
        <f>VLOOKUP(G6,'参加チーム'!$B$5:$G$73,IF($N$2=1,4,5),FALSE)</f>
        <v>かちかち山</v>
      </c>
      <c r="I6" s="304">
        <f>IF(J6&lt;&gt;"",J6+J7,"")</f>
        <v>3</v>
      </c>
      <c r="J6" s="116">
        <v>1</v>
      </c>
      <c r="K6" s="303" t="s">
        <v>86</v>
      </c>
      <c r="L6" s="116">
        <v>3</v>
      </c>
      <c r="M6" s="304">
        <f>IF(L6&lt;&gt;"",L6+L7,"")</f>
        <v>6</v>
      </c>
      <c r="N6" s="127" t="s">
        <v>30</v>
      </c>
      <c r="O6" s="316" t="str">
        <f>VLOOKUP(N6,'参加チーム'!$B$5:$G$73,IF($N$2=1,4,5),FALSE)</f>
        <v>volviendo</v>
      </c>
      <c r="P6" s="325" t="str">
        <f>+O6</f>
        <v>volviendo</v>
      </c>
      <c r="Q6" s="323"/>
      <c r="S6" s="20" t="str">
        <f>+"前"&amp;G6&amp;N6</f>
        <v>前ＣＦ</v>
      </c>
      <c r="T6" s="16">
        <f>+I6</f>
        <v>3</v>
      </c>
      <c r="U6" s="16">
        <f>+M6</f>
        <v>6</v>
      </c>
      <c r="V6" s="21">
        <f>+B4</f>
        <v>40315</v>
      </c>
      <c r="X6" s="117">
        <f t="shared" si="0"/>
        <v>5</v>
      </c>
      <c r="Y6" s="117">
        <f t="shared" si="1"/>
        <v>18</v>
      </c>
      <c r="Z6" s="117" t="str">
        <f t="shared" si="2"/>
        <v> 5/18</v>
      </c>
      <c r="AA6" s="117" t="str">
        <f t="shared" si="3"/>
        <v>●</v>
      </c>
      <c r="AB6" s="14" t="str">
        <f>IF(T6&lt;&gt;"",H6,"")</f>
        <v>かちかち山</v>
      </c>
      <c r="AC6" s="117" t="str">
        <f>+Z6&amp;" "&amp;AA6&amp;" "&amp;T6&amp;"-"&amp;U6&amp;" "&amp;O6</f>
        <v> 5/18 ● 3-6 volviendo</v>
      </c>
      <c r="AD6" s="14">
        <f>+J6</f>
        <v>1</v>
      </c>
      <c r="AE6" s="14">
        <f>+J7</f>
        <v>2</v>
      </c>
      <c r="AF6" s="14">
        <f>+L6</f>
        <v>3</v>
      </c>
      <c r="AG6" s="14">
        <f>+L7</f>
        <v>3</v>
      </c>
      <c r="AH6" s="121">
        <f t="shared" si="5"/>
        <v>40315</v>
      </c>
    </row>
    <row r="7" spans="1:34" ht="15.75" customHeight="1">
      <c r="A7" s="289"/>
      <c r="B7" s="292"/>
      <c r="C7" s="294" t="s">
        <v>229</v>
      </c>
      <c r="D7" s="309"/>
      <c r="E7" s="281"/>
      <c r="F7" s="307"/>
      <c r="G7" s="85" t="str">
        <f>LEFT(VLOOKUP(G6,'参加チーム'!$B$5:$G$73,6,FALSE),2)</f>
        <v>福島</v>
      </c>
      <c r="H7" s="317"/>
      <c r="I7" s="281"/>
      <c r="J7" s="116">
        <v>2</v>
      </c>
      <c r="K7" s="302"/>
      <c r="L7" s="116">
        <v>3</v>
      </c>
      <c r="M7" s="281"/>
      <c r="N7" s="85" t="str">
        <f>LEFT(VLOOKUP(N6,'参加チーム'!$B$5:$G$73,6,FALSE),2)</f>
        <v>福島</v>
      </c>
      <c r="O7" s="317"/>
      <c r="P7" s="307"/>
      <c r="Q7" s="323"/>
      <c r="S7" s="20" t="str">
        <f>+"前"&amp;N6&amp;G6</f>
        <v>前ＦＣ</v>
      </c>
      <c r="T7" s="16">
        <f>+M6</f>
        <v>6</v>
      </c>
      <c r="U7" s="16">
        <f>+I6</f>
        <v>3</v>
      </c>
      <c r="V7" s="21">
        <f>+B4</f>
        <v>40315</v>
      </c>
      <c r="X7" s="117">
        <f t="shared" si="0"/>
        <v>5</v>
      </c>
      <c r="Y7" s="117">
        <f t="shared" si="1"/>
        <v>18</v>
      </c>
      <c r="Z7" s="117" t="str">
        <f t="shared" si="2"/>
        <v> 5/18</v>
      </c>
      <c r="AA7" s="117" t="str">
        <f t="shared" si="3"/>
        <v>○</v>
      </c>
      <c r="AB7" s="14" t="str">
        <f t="shared" si="4"/>
        <v>volviendo</v>
      </c>
      <c r="AC7" s="117" t="str">
        <f>+Z7&amp;" "&amp;AA7&amp;" "&amp;T7&amp;"-"&amp;U7&amp;" "&amp;H6</f>
        <v> 5/18 ○ 6-3 かちかち山</v>
      </c>
      <c r="AD7" s="14">
        <f>+L6</f>
        <v>3</v>
      </c>
      <c r="AE7" s="14">
        <f>+L7</f>
        <v>3</v>
      </c>
      <c r="AF7" s="14">
        <f>+J6</f>
        <v>1</v>
      </c>
      <c r="AG7" s="14">
        <f>+J7</f>
        <v>2</v>
      </c>
      <c r="AH7" s="121">
        <f t="shared" si="5"/>
        <v>40315</v>
      </c>
    </row>
    <row r="8" spans="1:34" ht="15.75" customHeight="1">
      <c r="A8" s="289"/>
      <c r="B8" s="292"/>
      <c r="C8" s="295"/>
      <c r="D8" s="304">
        <v>3</v>
      </c>
      <c r="E8" s="283">
        <v>0.5277777777777778</v>
      </c>
      <c r="F8" s="312">
        <v>0.5902777777777778</v>
      </c>
      <c r="G8" s="86" t="s">
        <v>23</v>
      </c>
      <c r="H8" s="316" t="str">
        <f>VLOOKUP(G8,'参加チーム'!$B$5:$G$73,IF($N$2=1,4,5),FALSE)</f>
        <v>ヴォスクオーレ</v>
      </c>
      <c r="I8" s="304">
        <f>IF(J8&lt;&gt;"",J8+J9,"")</f>
        <v>3</v>
      </c>
      <c r="J8" s="116">
        <v>1</v>
      </c>
      <c r="K8" s="303" t="s">
        <v>86</v>
      </c>
      <c r="L8" s="116">
        <v>2</v>
      </c>
      <c r="M8" s="304">
        <f>IF(L8&lt;&gt;"",L8+L9,"")</f>
        <v>2</v>
      </c>
      <c r="N8" s="127" t="s">
        <v>112</v>
      </c>
      <c r="O8" s="316" t="str">
        <f>VLOOKUP(N8,'参加チーム'!$B$5:$G$73,IF($N$2=1,4,5),FALSE)</f>
        <v>D-GUCCI</v>
      </c>
      <c r="P8" s="325" t="str">
        <f>+O8</f>
        <v>D-GUCCI</v>
      </c>
      <c r="Q8" s="323"/>
      <c r="S8" s="20" t="str">
        <f>+"前"&amp;G8&amp;N8</f>
        <v>前ＢG</v>
      </c>
      <c r="T8" s="16">
        <f>+I8</f>
        <v>3</v>
      </c>
      <c r="U8" s="16">
        <f>+M8</f>
        <v>2</v>
      </c>
      <c r="V8" s="21">
        <f>+B4</f>
        <v>40315</v>
      </c>
      <c r="X8" s="117">
        <f t="shared" si="0"/>
        <v>5</v>
      </c>
      <c r="Y8" s="117">
        <f t="shared" si="1"/>
        <v>18</v>
      </c>
      <c r="Z8" s="117" t="str">
        <f t="shared" si="2"/>
        <v> 5/18</v>
      </c>
      <c r="AA8" s="117" t="str">
        <f t="shared" si="3"/>
        <v>○</v>
      </c>
      <c r="AB8" s="14" t="str">
        <f>IF(T8&lt;&gt;"",H8,"")</f>
        <v>ヴォスクオーレ</v>
      </c>
      <c r="AC8" s="117" t="str">
        <f>+Z8&amp;" "&amp;AA8&amp;" "&amp;T8&amp;"-"&amp;U8&amp;" "&amp;O8</f>
        <v> 5/18 ○ 3-2 D-GUCCI</v>
      </c>
      <c r="AD8" s="14">
        <f>+J8</f>
        <v>1</v>
      </c>
      <c r="AE8" s="14">
        <f>+J9</f>
        <v>2</v>
      </c>
      <c r="AF8" s="14">
        <f>+L8</f>
        <v>2</v>
      </c>
      <c r="AG8" s="14">
        <f>+L9</f>
        <v>0</v>
      </c>
      <c r="AH8" s="121">
        <f t="shared" si="5"/>
        <v>40315</v>
      </c>
    </row>
    <row r="9" spans="1:34" ht="15.75" customHeight="1">
      <c r="A9" s="289"/>
      <c r="B9" s="292"/>
      <c r="C9" s="295"/>
      <c r="D9" s="281"/>
      <c r="E9" s="284"/>
      <c r="F9" s="307"/>
      <c r="G9" s="85" t="str">
        <f>LEFT(VLOOKUP(G8,'参加チーム'!$B$5:$G$73,6,FALSE),2)</f>
        <v>宮城</v>
      </c>
      <c r="H9" s="317"/>
      <c r="I9" s="281"/>
      <c r="J9" s="116">
        <v>2</v>
      </c>
      <c r="K9" s="302"/>
      <c r="L9" s="116">
        <v>0</v>
      </c>
      <c r="M9" s="281"/>
      <c r="N9" s="85" t="str">
        <f>LEFT(VLOOKUP(N8,'参加チーム'!$B$5:$G$73,6,FALSE),2)</f>
        <v>宮城</v>
      </c>
      <c r="O9" s="317"/>
      <c r="P9" s="307"/>
      <c r="Q9" s="323"/>
      <c r="S9" s="20" t="str">
        <f>+"前"&amp;N8&amp;G8</f>
        <v>前GＢ</v>
      </c>
      <c r="T9" s="16">
        <f>+M8</f>
        <v>2</v>
      </c>
      <c r="U9" s="16">
        <f>+I8</f>
        <v>3</v>
      </c>
      <c r="V9" s="21">
        <f>+B4</f>
        <v>40315</v>
      </c>
      <c r="X9" s="117">
        <f t="shared" si="0"/>
        <v>5</v>
      </c>
      <c r="Y9" s="117">
        <f t="shared" si="1"/>
        <v>18</v>
      </c>
      <c r="Z9" s="117" t="str">
        <f t="shared" si="2"/>
        <v> 5/18</v>
      </c>
      <c r="AA9" s="117" t="str">
        <f t="shared" si="3"/>
        <v>●</v>
      </c>
      <c r="AB9" s="14" t="str">
        <f t="shared" si="4"/>
        <v>D-GUCCI</v>
      </c>
      <c r="AC9" s="117" t="str">
        <f>+Z9&amp;" "&amp;AA9&amp;" "&amp;T9&amp;"-"&amp;U9&amp;" "&amp;H8</f>
        <v> 5/18 ● 2-3 ヴォスクオーレ</v>
      </c>
      <c r="AD9" s="14">
        <f>+L8</f>
        <v>2</v>
      </c>
      <c r="AE9" s="14">
        <f>+L9</f>
        <v>0</v>
      </c>
      <c r="AF9" s="14">
        <f>+J8</f>
        <v>1</v>
      </c>
      <c r="AG9" s="14">
        <f>+J9</f>
        <v>2</v>
      </c>
      <c r="AH9" s="121">
        <f t="shared" si="5"/>
        <v>40315</v>
      </c>
    </row>
    <row r="10" spans="1:34" ht="15.75" customHeight="1">
      <c r="A10" s="289"/>
      <c r="B10" s="292"/>
      <c r="C10" s="295"/>
      <c r="D10" s="297">
        <v>4</v>
      </c>
      <c r="E10" s="283">
        <v>0.6041666666666666</v>
      </c>
      <c r="F10" s="312">
        <v>0.6666666666666666</v>
      </c>
      <c r="G10" s="86" t="s">
        <v>31</v>
      </c>
      <c r="H10" s="319" t="str">
        <f>VLOOKUP(G10,'参加チーム'!$B$5:$G$73,IF($N$2=1,4,5),FALSE)</f>
        <v>BANFF</v>
      </c>
      <c r="I10" s="304">
        <f>IF(J10&lt;&gt;"",J10+J11,"")</f>
        <v>3</v>
      </c>
      <c r="J10" s="116">
        <v>0</v>
      </c>
      <c r="K10" s="303" t="s">
        <v>86</v>
      </c>
      <c r="L10" s="116">
        <v>0</v>
      </c>
      <c r="M10" s="304">
        <f>IF(L10&lt;&gt;"",L10+L11,"")</f>
        <v>0</v>
      </c>
      <c r="N10" s="127" t="s">
        <v>110</v>
      </c>
      <c r="O10" s="319" t="str">
        <f>VLOOKUP(N10,'参加チーム'!$B$5:$G$73,IF($N$2=1,4,5),FALSE)</f>
        <v>CROSS</v>
      </c>
      <c r="P10" s="325" t="str">
        <f>+O10</f>
        <v>CROSS</v>
      </c>
      <c r="Q10" s="323"/>
      <c r="S10" s="20" t="str">
        <f>+"前"&amp;G10&amp;N10</f>
        <v>前ＡH</v>
      </c>
      <c r="T10" s="16">
        <f>+I10</f>
        <v>3</v>
      </c>
      <c r="U10" s="16">
        <f>+M10</f>
        <v>0</v>
      </c>
      <c r="V10" s="21">
        <f>+B4</f>
        <v>40315</v>
      </c>
      <c r="X10" s="117">
        <f t="shared" si="0"/>
        <v>5</v>
      </c>
      <c r="Y10" s="117">
        <f t="shared" si="1"/>
        <v>18</v>
      </c>
      <c r="Z10" s="117" t="str">
        <f t="shared" si="2"/>
        <v> 5/18</v>
      </c>
      <c r="AA10" s="117" t="str">
        <f t="shared" si="3"/>
        <v>○</v>
      </c>
      <c r="AB10" s="14" t="str">
        <f>IF(T10&lt;&gt;"",H10,"")</f>
        <v>BANFF</v>
      </c>
      <c r="AC10" s="117" t="str">
        <f>+Z10&amp;" "&amp;AA10&amp;" "&amp;T10&amp;"-"&amp;U10&amp;" "&amp;O10</f>
        <v> 5/18 ○ 3-0 CROSS</v>
      </c>
      <c r="AD10" s="14">
        <f>+J10</f>
        <v>0</v>
      </c>
      <c r="AE10" s="14">
        <f>+J11</f>
        <v>3</v>
      </c>
      <c r="AF10" s="14">
        <f>+L10</f>
        <v>0</v>
      </c>
      <c r="AG10" s="14">
        <f>+L11</f>
        <v>0</v>
      </c>
      <c r="AH10" s="121">
        <f t="shared" si="5"/>
        <v>40315</v>
      </c>
    </row>
    <row r="11" spans="1:34" ht="15.75" customHeight="1" thickBot="1">
      <c r="A11" s="290"/>
      <c r="B11" s="293"/>
      <c r="C11" s="296"/>
      <c r="D11" s="298"/>
      <c r="E11" s="285"/>
      <c r="F11" s="315"/>
      <c r="G11" s="85" t="str">
        <f>LEFT(VLOOKUP(G10,'参加チーム'!$B$5:$G$73,6,FALSE),2)</f>
        <v>宮城</v>
      </c>
      <c r="H11" s="320"/>
      <c r="I11" s="305"/>
      <c r="J11" s="125">
        <v>3</v>
      </c>
      <c r="K11" s="321"/>
      <c r="L11" s="125">
        <v>0</v>
      </c>
      <c r="M11" s="305"/>
      <c r="N11" s="85" t="str">
        <f>LEFT(VLOOKUP(N10,'参加チーム'!$B$5:$G$73,6,FALSE),2)</f>
        <v>岩手</v>
      </c>
      <c r="O11" s="320"/>
      <c r="P11" s="315"/>
      <c r="Q11" s="324"/>
      <c r="S11" s="22" t="str">
        <f>+"前"&amp;N10&amp;G10</f>
        <v>前HＡ</v>
      </c>
      <c r="T11" s="23">
        <f>+M10</f>
        <v>0</v>
      </c>
      <c r="U11" s="23">
        <f>+I10</f>
        <v>3</v>
      </c>
      <c r="V11" s="24">
        <f>+B4</f>
        <v>40315</v>
      </c>
      <c r="X11" s="117">
        <f t="shared" si="0"/>
        <v>5</v>
      </c>
      <c r="Y11" s="117">
        <f t="shared" si="1"/>
        <v>18</v>
      </c>
      <c r="Z11" s="117" t="str">
        <f t="shared" si="2"/>
        <v> 5/18</v>
      </c>
      <c r="AA11" s="117" t="str">
        <f t="shared" si="3"/>
        <v>●</v>
      </c>
      <c r="AB11" s="14" t="str">
        <f t="shared" si="4"/>
        <v>CROSS</v>
      </c>
      <c r="AC11" s="117" t="str">
        <f>+Z11&amp;" "&amp;AA11&amp;" "&amp;T11&amp;"-"&amp;U11&amp;" "&amp;H10</f>
        <v> 5/18 ● 0-3 BANFF</v>
      </c>
      <c r="AD11" s="14">
        <f>+L10</f>
        <v>0</v>
      </c>
      <c r="AE11" s="14">
        <f>+L11</f>
        <v>0</v>
      </c>
      <c r="AF11" s="14">
        <f>+J10</f>
        <v>0</v>
      </c>
      <c r="AG11" s="14">
        <f>+J11</f>
        <v>3</v>
      </c>
      <c r="AH11" s="121">
        <f t="shared" si="5"/>
        <v>40315</v>
      </c>
    </row>
    <row r="12" spans="1:34" ht="15.75" customHeight="1">
      <c r="A12" s="288">
        <v>2</v>
      </c>
      <c r="B12" s="291">
        <v>40343</v>
      </c>
      <c r="C12" s="314" t="s">
        <v>57</v>
      </c>
      <c r="D12" s="308">
        <v>1</v>
      </c>
      <c r="E12" s="280">
        <v>0.3958333333333333</v>
      </c>
      <c r="F12" s="306">
        <v>0.4375</v>
      </c>
      <c r="G12" s="84" t="s">
        <v>110</v>
      </c>
      <c r="H12" s="318" t="str">
        <f>VLOOKUP(G12,'参加チーム'!$B$5:$G$73,IF($N$2=1,4,5),FALSE)</f>
        <v>CROSS</v>
      </c>
      <c r="I12" s="300">
        <f>IF(J12&lt;&gt;"",J12+J13,"")</f>
        <v>1</v>
      </c>
      <c r="J12" s="123">
        <v>0</v>
      </c>
      <c r="K12" s="301" t="s">
        <v>86</v>
      </c>
      <c r="L12" s="123">
        <v>3</v>
      </c>
      <c r="M12" s="300">
        <f>IF(L12&lt;&gt;"",L12+L13,"")</f>
        <v>5</v>
      </c>
      <c r="N12" s="84" t="s">
        <v>23</v>
      </c>
      <c r="O12" s="318" t="str">
        <f>VLOOKUP(N12,'参加チーム'!$B$5:$G$73,IF($N$2=1,4,5),FALSE)</f>
        <v>ヴォスクオーレ</v>
      </c>
      <c r="P12" s="326" t="str">
        <f>+O12</f>
        <v>ヴォスクオーレ</v>
      </c>
      <c r="Q12" s="322" t="str">
        <f>+H12</f>
        <v>CROSS</v>
      </c>
      <c r="S12" s="17" t="str">
        <f>+"前"&amp;G12&amp;N12</f>
        <v>前HＢ</v>
      </c>
      <c r="T12" s="18">
        <f>IF(I12&lt;&gt;"",I12,"")</f>
        <v>1</v>
      </c>
      <c r="U12" s="18">
        <f>IF(M12&lt;&gt;"",M12,"")</f>
        <v>5</v>
      </c>
      <c r="V12" s="19">
        <f>+B12</f>
        <v>40343</v>
      </c>
      <c r="X12" s="117">
        <f t="shared" si="0"/>
        <v>6</v>
      </c>
      <c r="Y12" s="117">
        <f t="shared" si="1"/>
        <v>15</v>
      </c>
      <c r="Z12" s="117" t="str">
        <f t="shared" si="2"/>
        <v> 6/15</v>
      </c>
      <c r="AA12" s="117" t="str">
        <f t="shared" si="3"/>
        <v>●</v>
      </c>
      <c r="AB12" s="14" t="str">
        <f>IF(T12&lt;&gt;"",H12,"")</f>
        <v>CROSS</v>
      </c>
      <c r="AC12" s="117" t="str">
        <f>+Z12&amp;" "&amp;AA12&amp;" "&amp;T12&amp;"-"&amp;U12&amp;" "&amp;O12</f>
        <v> 6/15 ● 1-5 ヴォスクオーレ</v>
      </c>
      <c r="AD12" s="14">
        <f>+J12</f>
        <v>0</v>
      </c>
      <c r="AE12" s="14">
        <f>+J13</f>
        <v>1</v>
      </c>
      <c r="AF12" s="14">
        <f>+L12</f>
        <v>3</v>
      </c>
      <c r="AG12" s="14">
        <f>+L13</f>
        <v>2</v>
      </c>
      <c r="AH12" s="121">
        <f t="shared" si="5"/>
        <v>40343</v>
      </c>
    </row>
    <row r="13" spans="1:34" ht="15.75" customHeight="1">
      <c r="A13" s="289"/>
      <c r="B13" s="292"/>
      <c r="C13" s="311"/>
      <c r="D13" s="309"/>
      <c r="E13" s="281"/>
      <c r="F13" s="307"/>
      <c r="G13" s="85" t="str">
        <f>LEFT(VLOOKUP(G12,'参加チーム'!$B$5:$G$73,6,FALSE),2)</f>
        <v>岩手</v>
      </c>
      <c r="H13" s="317"/>
      <c r="I13" s="281"/>
      <c r="J13" s="116">
        <v>1</v>
      </c>
      <c r="K13" s="302"/>
      <c r="L13" s="116">
        <v>2</v>
      </c>
      <c r="M13" s="281"/>
      <c r="N13" s="85" t="str">
        <f>LEFT(VLOOKUP(N12,'参加チーム'!$B$5:$G$73,6,FALSE),2)</f>
        <v>宮城</v>
      </c>
      <c r="O13" s="317"/>
      <c r="P13" s="307"/>
      <c r="Q13" s="323"/>
      <c r="S13" s="20" t="str">
        <f>+"前"&amp;N12&amp;G12</f>
        <v>前ＢH</v>
      </c>
      <c r="T13" s="16">
        <f>IF(M12&lt;&gt;"",M12,"")</f>
        <v>5</v>
      </c>
      <c r="U13" s="16">
        <f>IF(I12&lt;&gt;"",I12,"")</f>
        <v>1</v>
      </c>
      <c r="V13" s="21">
        <f>+B12</f>
        <v>40343</v>
      </c>
      <c r="X13" s="117">
        <f t="shared" si="0"/>
        <v>6</v>
      </c>
      <c r="Y13" s="117">
        <f t="shared" si="1"/>
        <v>15</v>
      </c>
      <c r="Z13" s="117" t="str">
        <f t="shared" si="2"/>
        <v> 6/15</v>
      </c>
      <c r="AA13" s="117" t="str">
        <f t="shared" si="3"/>
        <v>○</v>
      </c>
      <c r="AB13" s="14" t="str">
        <f aca="true" t="shared" si="6" ref="AB13:AB19">IF(T13&lt;&gt;"",O12,"")</f>
        <v>ヴォスクオーレ</v>
      </c>
      <c r="AC13" s="117" t="str">
        <f>+Z13&amp;" "&amp;AA13&amp;" "&amp;T13&amp;"-"&amp;U13&amp;" "&amp;H12</f>
        <v> 6/15 ○ 5-1 CROSS</v>
      </c>
      <c r="AD13" s="14">
        <f>+L12</f>
        <v>3</v>
      </c>
      <c r="AE13" s="14">
        <f>+L13</f>
        <v>2</v>
      </c>
      <c r="AF13" s="14">
        <f>+J12</f>
        <v>0</v>
      </c>
      <c r="AG13" s="14">
        <f>+J13</f>
        <v>1</v>
      </c>
      <c r="AH13" s="121">
        <f t="shared" si="5"/>
        <v>40343</v>
      </c>
    </row>
    <row r="14" spans="1:34" ht="15.75" customHeight="1">
      <c r="A14" s="289"/>
      <c r="B14" s="292"/>
      <c r="C14" s="311"/>
      <c r="D14" s="297">
        <v>2</v>
      </c>
      <c r="E14" s="282">
        <v>0.45138888888888895</v>
      </c>
      <c r="F14" s="312">
        <v>0.513888888888889</v>
      </c>
      <c r="G14" s="86" t="s">
        <v>112</v>
      </c>
      <c r="H14" s="316" t="str">
        <f>VLOOKUP(G14,'参加チーム'!$B$5:$G$73,IF($N$2=1,4,5),FALSE)</f>
        <v>D-GUCCI</v>
      </c>
      <c r="I14" s="304">
        <f>IF(J14&lt;&gt;"",J14+J15,"")</f>
        <v>1</v>
      </c>
      <c r="J14" s="116">
        <v>1</v>
      </c>
      <c r="K14" s="303" t="s">
        <v>86</v>
      </c>
      <c r="L14" s="116">
        <v>1</v>
      </c>
      <c r="M14" s="304">
        <f>IF(L14&lt;&gt;"",L14+L15,"")</f>
        <v>1</v>
      </c>
      <c r="N14" s="86" t="s">
        <v>233</v>
      </c>
      <c r="O14" s="316" t="str">
        <f>VLOOKUP(N14,'参加チーム'!$B$5:$G$73,IF($N$2=1,4,5),FALSE)</f>
        <v>BANFF</v>
      </c>
      <c r="P14" s="325" t="str">
        <f>+O14</f>
        <v>BANFF</v>
      </c>
      <c r="Q14" s="323"/>
      <c r="S14" s="20" t="str">
        <f>+"前"&amp;G14&amp;N14</f>
        <v>前GＡ</v>
      </c>
      <c r="T14" s="16">
        <f>+I14</f>
        <v>1</v>
      </c>
      <c r="U14" s="16">
        <f>+M14</f>
        <v>1</v>
      </c>
      <c r="V14" s="21">
        <f>+B12</f>
        <v>40343</v>
      </c>
      <c r="X14" s="117">
        <f t="shared" si="0"/>
        <v>6</v>
      </c>
      <c r="Y14" s="117">
        <f t="shared" si="1"/>
        <v>15</v>
      </c>
      <c r="Z14" s="117" t="str">
        <f t="shared" si="2"/>
        <v> 6/15</v>
      </c>
      <c r="AA14" s="117" t="str">
        <f t="shared" si="3"/>
        <v>△</v>
      </c>
      <c r="AB14" s="14" t="str">
        <f>IF(T14&lt;&gt;"",H14,"")</f>
        <v>D-GUCCI</v>
      </c>
      <c r="AC14" s="117" t="str">
        <f>+Z14&amp;" "&amp;AA14&amp;" "&amp;T14&amp;"-"&amp;U14&amp;" "&amp;O14</f>
        <v> 6/15 △ 1-1 BANFF</v>
      </c>
      <c r="AD14" s="14">
        <f>+J14</f>
        <v>1</v>
      </c>
      <c r="AE14" s="14">
        <f>+J15</f>
        <v>0</v>
      </c>
      <c r="AF14" s="14">
        <f>+L14</f>
        <v>1</v>
      </c>
      <c r="AG14" s="14">
        <f>+L15</f>
        <v>0</v>
      </c>
      <c r="AH14" s="121">
        <f t="shared" si="5"/>
        <v>40343</v>
      </c>
    </row>
    <row r="15" spans="1:34" ht="15.75" customHeight="1">
      <c r="A15" s="289"/>
      <c r="B15" s="292"/>
      <c r="C15" s="294" t="s">
        <v>230</v>
      </c>
      <c r="D15" s="309"/>
      <c r="E15" s="281"/>
      <c r="F15" s="307"/>
      <c r="G15" s="85" t="str">
        <f>LEFT(VLOOKUP(G14,'参加チーム'!$B$5:$G$73,6,FALSE),2)</f>
        <v>宮城</v>
      </c>
      <c r="H15" s="317"/>
      <c r="I15" s="281"/>
      <c r="J15" s="116">
        <v>0</v>
      </c>
      <c r="K15" s="302"/>
      <c r="L15" s="116">
        <v>0</v>
      </c>
      <c r="M15" s="281"/>
      <c r="N15" s="85" t="str">
        <f>LEFT(VLOOKUP(N14,'参加チーム'!$B$5:$G$73,6,FALSE),2)</f>
        <v>宮城</v>
      </c>
      <c r="O15" s="317"/>
      <c r="P15" s="307"/>
      <c r="Q15" s="323"/>
      <c r="S15" s="20" t="str">
        <f>+"前"&amp;N14&amp;G14</f>
        <v>前ＡG</v>
      </c>
      <c r="T15" s="16">
        <f>+M14</f>
        <v>1</v>
      </c>
      <c r="U15" s="16">
        <f>+I14</f>
        <v>1</v>
      </c>
      <c r="V15" s="21">
        <f>+B12</f>
        <v>40343</v>
      </c>
      <c r="X15" s="117">
        <f t="shared" si="0"/>
        <v>6</v>
      </c>
      <c r="Y15" s="117">
        <f t="shared" si="1"/>
        <v>15</v>
      </c>
      <c r="Z15" s="117" t="str">
        <f t="shared" si="2"/>
        <v> 6/15</v>
      </c>
      <c r="AA15" s="117" t="str">
        <f t="shared" si="3"/>
        <v>△</v>
      </c>
      <c r="AB15" s="14" t="str">
        <f t="shared" si="6"/>
        <v>BANFF</v>
      </c>
      <c r="AC15" s="117" t="str">
        <f>+Z15&amp;" "&amp;AA15&amp;" "&amp;T15&amp;"-"&amp;U15&amp;" "&amp;H14</f>
        <v> 6/15 △ 1-1 D-GUCCI</v>
      </c>
      <c r="AD15" s="14">
        <f>+L14</f>
        <v>1</v>
      </c>
      <c r="AE15" s="14">
        <f>+L15</f>
        <v>0</v>
      </c>
      <c r="AF15" s="14">
        <f>+J14</f>
        <v>1</v>
      </c>
      <c r="AG15" s="14">
        <f>+J15</f>
        <v>0</v>
      </c>
      <c r="AH15" s="121">
        <f t="shared" si="5"/>
        <v>40343</v>
      </c>
    </row>
    <row r="16" spans="1:34" ht="15.75" customHeight="1">
      <c r="A16" s="289"/>
      <c r="B16" s="292"/>
      <c r="C16" s="295"/>
      <c r="D16" s="304">
        <v>3</v>
      </c>
      <c r="E16" s="283">
        <v>0.5277777777777778</v>
      </c>
      <c r="F16" s="312">
        <v>0.5902777777777778</v>
      </c>
      <c r="G16" s="86" t="s">
        <v>30</v>
      </c>
      <c r="H16" s="316" t="str">
        <f>VLOOKUP(G16,'参加チーム'!$B$5:$G$73,IF($N$2=1,4,5),FALSE)</f>
        <v>volviendo</v>
      </c>
      <c r="I16" s="304">
        <f>IF(J16&lt;&gt;"",J16+J17,"")</f>
        <v>6</v>
      </c>
      <c r="J16" s="116">
        <v>3</v>
      </c>
      <c r="K16" s="303" t="s">
        <v>86</v>
      </c>
      <c r="L16" s="116">
        <v>1</v>
      </c>
      <c r="M16" s="304">
        <f>IF(L16&lt;&gt;"",L16+L17,"")</f>
        <v>2</v>
      </c>
      <c r="N16" s="86" t="s">
        <v>26</v>
      </c>
      <c r="O16" s="316" t="str">
        <f>VLOOKUP(N16,'参加チーム'!$B$5:$G$73,IF($N$2=1,4,5),FALSE)</f>
        <v>malva</v>
      </c>
      <c r="P16" s="325" t="str">
        <f>+O16</f>
        <v>malva</v>
      </c>
      <c r="Q16" s="323"/>
      <c r="S16" s="20" t="str">
        <f>+"前"&amp;G16&amp;N16</f>
        <v>前ＦＤ</v>
      </c>
      <c r="T16" s="16">
        <f>+I16</f>
        <v>6</v>
      </c>
      <c r="U16" s="16">
        <f>+M16</f>
        <v>2</v>
      </c>
      <c r="V16" s="21">
        <f>+B12</f>
        <v>40343</v>
      </c>
      <c r="X16" s="117">
        <f t="shared" si="0"/>
        <v>6</v>
      </c>
      <c r="Y16" s="117">
        <f t="shared" si="1"/>
        <v>15</v>
      </c>
      <c r="Z16" s="117" t="str">
        <f t="shared" si="2"/>
        <v> 6/15</v>
      </c>
      <c r="AA16" s="117" t="str">
        <f t="shared" si="3"/>
        <v>○</v>
      </c>
      <c r="AB16" s="14" t="str">
        <f>IF(T16&lt;&gt;"",H16,"")</f>
        <v>volviendo</v>
      </c>
      <c r="AC16" s="117" t="str">
        <f>+Z16&amp;" "&amp;AA16&amp;" "&amp;T16&amp;"-"&amp;U16&amp;" "&amp;O16</f>
        <v> 6/15 ○ 6-2 malva</v>
      </c>
      <c r="AD16" s="14">
        <f>+J16</f>
        <v>3</v>
      </c>
      <c r="AE16" s="14">
        <f>+J17</f>
        <v>3</v>
      </c>
      <c r="AF16" s="14">
        <f>+L16</f>
        <v>1</v>
      </c>
      <c r="AG16" s="14">
        <f>+L17</f>
        <v>1</v>
      </c>
      <c r="AH16" s="121">
        <f t="shared" si="5"/>
        <v>40343</v>
      </c>
    </row>
    <row r="17" spans="1:34" ht="15.75" customHeight="1">
      <c r="A17" s="289"/>
      <c r="B17" s="292"/>
      <c r="C17" s="295"/>
      <c r="D17" s="281"/>
      <c r="E17" s="284"/>
      <c r="F17" s="307"/>
      <c r="G17" s="85" t="str">
        <f>LEFT(VLOOKUP(G16,'参加チーム'!$B$5:$G$73,6,FALSE),2)</f>
        <v>福島</v>
      </c>
      <c r="H17" s="317"/>
      <c r="I17" s="281"/>
      <c r="J17" s="116">
        <v>3</v>
      </c>
      <c r="K17" s="302"/>
      <c r="L17" s="116">
        <v>1</v>
      </c>
      <c r="M17" s="281"/>
      <c r="N17" s="85" t="str">
        <f>LEFT(VLOOKUP(N16,'参加チーム'!$B$5:$G$73,6,FALSE),2)</f>
        <v>山形</v>
      </c>
      <c r="O17" s="317"/>
      <c r="P17" s="307"/>
      <c r="Q17" s="323"/>
      <c r="S17" s="20" t="str">
        <f>+"前"&amp;N16&amp;G16</f>
        <v>前ＤＦ</v>
      </c>
      <c r="T17" s="16">
        <f>+M16</f>
        <v>2</v>
      </c>
      <c r="U17" s="16">
        <f>+I16</f>
        <v>6</v>
      </c>
      <c r="V17" s="21">
        <f>+B12</f>
        <v>40343</v>
      </c>
      <c r="X17" s="117">
        <f t="shared" si="0"/>
        <v>6</v>
      </c>
      <c r="Y17" s="117">
        <f t="shared" si="1"/>
        <v>15</v>
      </c>
      <c r="Z17" s="117" t="str">
        <f t="shared" si="2"/>
        <v> 6/15</v>
      </c>
      <c r="AA17" s="117" t="str">
        <f t="shared" si="3"/>
        <v>●</v>
      </c>
      <c r="AB17" s="14" t="str">
        <f t="shared" si="6"/>
        <v>malva</v>
      </c>
      <c r="AC17" s="117" t="str">
        <f>+Z17&amp;" "&amp;AA17&amp;" "&amp;T17&amp;"-"&amp;U17&amp;" "&amp;H16</f>
        <v> 6/15 ● 2-6 volviendo</v>
      </c>
      <c r="AD17" s="14">
        <f>+L16</f>
        <v>1</v>
      </c>
      <c r="AE17" s="14">
        <f>+L17</f>
        <v>1</v>
      </c>
      <c r="AF17" s="14">
        <f>+J16</f>
        <v>3</v>
      </c>
      <c r="AG17" s="14">
        <f>+J17</f>
        <v>3</v>
      </c>
      <c r="AH17" s="121">
        <f t="shared" si="5"/>
        <v>40343</v>
      </c>
    </row>
    <row r="18" spans="1:34" ht="15.75" customHeight="1">
      <c r="A18" s="289"/>
      <c r="B18" s="292"/>
      <c r="C18" s="295"/>
      <c r="D18" s="297">
        <v>4</v>
      </c>
      <c r="E18" s="283">
        <v>0.6041666666666666</v>
      </c>
      <c r="F18" s="312">
        <v>0.6666666666666666</v>
      </c>
      <c r="G18" s="86" t="s">
        <v>28</v>
      </c>
      <c r="H18" s="319" t="str">
        <f>VLOOKUP(G18,'参加チーム'!$B$5:$G$73,IF($N$2=1,4,5),FALSE)</f>
        <v>Sabedoria</v>
      </c>
      <c r="I18" s="304">
        <f>IF(J18&lt;&gt;"",J18+J19,"")</f>
        <v>3</v>
      </c>
      <c r="J18" s="116">
        <v>1</v>
      </c>
      <c r="K18" s="303" t="s">
        <v>86</v>
      </c>
      <c r="L18" s="116">
        <v>1</v>
      </c>
      <c r="M18" s="304">
        <f>IF(L18&lt;&gt;"",L18+L19,"")</f>
        <v>3</v>
      </c>
      <c r="N18" s="86" t="s">
        <v>243</v>
      </c>
      <c r="O18" s="319" t="str">
        <f>VLOOKUP(N18,'参加チーム'!$B$5:$G$73,IF($N$2=1,4,5),FALSE)</f>
        <v>かちかち山</v>
      </c>
      <c r="P18" s="325" t="str">
        <f>+O18</f>
        <v>かちかち山</v>
      </c>
      <c r="Q18" s="323"/>
      <c r="S18" s="20" t="str">
        <f>+"前"&amp;G18&amp;N18</f>
        <v>前ＥＣ</v>
      </c>
      <c r="T18" s="16">
        <f>+I18</f>
        <v>3</v>
      </c>
      <c r="U18" s="16">
        <f>+M18</f>
        <v>3</v>
      </c>
      <c r="V18" s="21">
        <f>+B12</f>
        <v>40343</v>
      </c>
      <c r="X18" s="117">
        <f t="shared" si="0"/>
        <v>6</v>
      </c>
      <c r="Y18" s="117">
        <f t="shared" si="1"/>
        <v>15</v>
      </c>
      <c r="Z18" s="117" t="str">
        <f t="shared" si="2"/>
        <v> 6/15</v>
      </c>
      <c r="AA18" s="117" t="str">
        <f t="shared" si="3"/>
        <v>△</v>
      </c>
      <c r="AB18" s="14" t="str">
        <f>IF(T18&lt;&gt;"",H18,"")</f>
        <v>Sabedoria</v>
      </c>
      <c r="AC18" s="117" t="str">
        <f>+Z18&amp;" "&amp;AA18&amp;" "&amp;T18&amp;"-"&amp;U18&amp;" "&amp;O18</f>
        <v> 6/15 △ 3-3 かちかち山</v>
      </c>
      <c r="AD18" s="14">
        <f>+J18</f>
        <v>1</v>
      </c>
      <c r="AE18" s="14">
        <f>+J19</f>
        <v>2</v>
      </c>
      <c r="AF18" s="14">
        <f>+L18</f>
        <v>1</v>
      </c>
      <c r="AG18" s="14">
        <f>+L19</f>
        <v>2</v>
      </c>
      <c r="AH18" s="121">
        <f t="shared" si="5"/>
        <v>40343</v>
      </c>
    </row>
    <row r="19" spans="1:34" ht="15.75" customHeight="1" thickBot="1">
      <c r="A19" s="290"/>
      <c r="B19" s="293"/>
      <c r="C19" s="296"/>
      <c r="D19" s="298"/>
      <c r="E19" s="285"/>
      <c r="F19" s="315"/>
      <c r="G19" s="85" t="str">
        <f>LEFT(VLOOKUP(G18,'参加チーム'!$B$5:$G$73,6,FALSE),2)</f>
        <v>岩手</v>
      </c>
      <c r="H19" s="320"/>
      <c r="I19" s="305"/>
      <c r="J19" s="125">
        <v>2</v>
      </c>
      <c r="K19" s="321"/>
      <c r="L19" s="125">
        <v>2</v>
      </c>
      <c r="M19" s="305"/>
      <c r="N19" s="85" t="str">
        <f>LEFT(VLOOKUP(N18,'参加チーム'!$B$5:$G$73,6,FALSE),2)</f>
        <v>福島</v>
      </c>
      <c r="O19" s="320"/>
      <c r="P19" s="315"/>
      <c r="Q19" s="324"/>
      <c r="S19" s="22" t="str">
        <f>+"前"&amp;N18&amp;G18</f>
        <v>前ＣＥ</v>
      </c>
      <c r="T19" s="23">
        <f>+M18</f>
        <v>3</v>
      </c>
      <c r="U19" s="23">
        <f>+I18</f>
        <v>3</v>
      </c>
      <c r="V19" s="24">
        <f>+B12</f>
        <v>40343</v>
      </c>
      <c r="X19" s="117">
        <f t="shared" si="0"/>
        <v>6</v>
      </c>
      <c r="Y19" s="117">
        <f t="shared" si="1"/>
        <v>15</v>
      </c>
      <c r="Z19" s="117" t="str">
        <f t="shared" si="2"/>
        <v> 6/15</v>
      </c>
      <c r="AA19" s="117" t="str">
        <f t="shared" si="3"/>
        <v>△</v>
      </c>
      <c r="AB19" s="14" t="str">
        <f t="shared" si="6"/>
        <v>かちかち山</v>
      </c>
      <c r="AC19" s="117" t="str">
        <f>+Z19&amp;" "&amp;AA19&amp;" "&amp;T19&amp;"-"&amp;U19&amp;" "&amp;H18</f>
        <v> 6/15 △ 3-3 Sabedoria</v>
      </c>
      <c r="AD19" s="14">
        <f>+L18</f>
        <v>1</v>
      </c>
      <c r="AE19" s="14">
        <f>+L19</f>
        <v>2</v>
      </c>
      <c r="AF19" s="14">
        <f>+J18</f>
        <v>1</v>
      </c>
      <c r="AG19" s="14">
        <f>+J19</f>
        <v>2</v>
      </c>
      <c r="AH19" s="121">
        <f t="shared" si="5"/>
        <v>40343</v>
      </c>
    </row>
    <row r="20" spans="1:34" ht="15.75" customHeight="1">
      <c r="A20" s="288">
        <v>3</v>
      </c>
      <c r="B20" s="291">
        <v>40350</v>
      </c>
      <c r="C20" s="314" t="s">
        <v>107</v>
      </c>
      <c r="D20" s="308">
        <v>1</v>
      </c>
      <c r="E20" s="280">
        <v>0.3958333333333333</v>
      </c>
      <c r="F20" s="306">
        <v>0.4375</v>
      </c>
      <c r="G20" s="84" t="s">
        <v>25</v>
      </c>
      <c r="H20" s="318" t="str">
        <f>VLOOKUP(G20,'参加チーム'!$B$5:$G$73,IF($N$2=1,4,5),FALSE)</f>
        <v>かちかち山</v>
      </c>
      <c r="I20" s="300">
        <f>IF(J20&lt;&gt;"",J20+J21,"")</f>
        <v>3</v>
      </c>
      <c r="J20" s="123">
        <v>2</v>
      </c>
      <c r="K20" s="301" t="s">
        <v>86</v>
      </c>
      <c r="L20" s="123">
        <v>1</v>
      </c>
      <c r="M20" s="300">
        <f>IF(L20&lt;&gt;"",L20+L21,"")</f>
        <v>2</v>
      </c>
      <c r="N20" s="84" t="s">
        <v>110</v>
      </c>
      <c r="O20" s="318" t="str">
        <f>VLOOKUP(N20,'参加チーム'!$B$5:$G$73,IF($N$2=1,4,5),FALSE)</f>
        <v>CROSS</v>
      </c>
      <c r="P20" s="326" t="str">
        <f>+O20</f>
        <v>CROSS</v>
      </c>
      <c r="Q20" s="322" t="str">
        <f>+H20</f>
        <v>かちかち山</v>
      </c>
      <c r="S20" s="17" t="str">
        <f>+"前"&amp;G20&amp;N20</f>
        <v>前ＣH</v>
      </c>
      <c r="T20" s="18">
        <f>IF(I20&lt;&gt;"",I20,"")</f>
        <v>3</v>
      </c>
      <c r="U20" s="18">
        <f>IF(M20&lt;&gt;"",M20,"")</f>
        <v>2</v>
      </c>
      <c r="V20" s="19">
        <f>+B20</f>
        <v>40350</v>
      </c>
      <c r="X20" s="117">
        <f t="shared" si="0"/>
        <v>6</v>
      </c>
      <c r="Y20" s="117">
        <f t="shared" si="1"/>
        <v>22</v>
      </c>
      <c r="Z20" s="117" t="str">
        <f t="shared" si="2"/>
        <v> 6/22</v>
      </c>
      <c r="AA20" s="117" t="str">
        <f t="shared" si="3"/>
        <v>○</v>
      </c>
      <c r="AB20" s="14" t="str">
        <f>IF(T20&lt;&gt;"",H20,"")</f>
        <v>かちかち山</v>
      </c>
      <c r="AC20" s="117" t="str">
        <f>+Z20&amp;" "&amp;AA20&amp;" "&amp;T20&amp;"-"&amp;U20&amp;" "&amp;O20</f>
        <v> 6/22 ○ 3-2 CROSS</v>
      </c>
      <c r="AD20" s="14">
        <f>+J20</f>
        <v>2</v>
      </c>
      <c r="AE20" s="14">
        <f>+J21</f>
        <v>1</v>
      </c>
      <c r="AF20" s="14">
        <f>+L20</f>
        <v>1</v>
      </c>
      <c r="AG20" s="14">
        <f>+L21</f>
        <v>1</v>
      </c>
      <c r="AH20" s="121">
        <f t="shared" si="5"/>
        <v>40350</v>
      </c>
    </row>
    <row r="21" spans="1:34" ht="15.75" customHeight="1">
      <c r="A21" s="289"/>
      <c r="B21" s="292"/>
      <c r="C21" s="311"/>
      <c r="D21" s="309"/>
      <c r="E21" s="281"/>
      <c r="F21" s="307"/>
      <c r="G21" s="85" t="str">
        <f>LEFT(VLOOKUP(G20,'参加チーム'!$B$5:$G$73,6,FALSE),2)</f>
        <v>福島</v>
      </c>
      <c r="H21" s="317"/>
      <c r="I21" s="281"/>
      <c r="J21" s="116">
        <v>1</v>
      </c>
      <c r="K21" s="302"/>
      <c r="L21" s="116">
        <v>1</v>
      </c>
      <c r="M21" s="281"/>
      <c r="N21" s="85" t="str">
        <f>LEFT(VLOOKUP(N20,'参加チーム'!$B$5:$G$73,6,FALSE),2)</f>
        <v>岩手</v>
      </c>
      <c r="O21" s="317"/>
      <c r="P21" s="307"/>
      <c r="Q21" s="323"/>
      <c r="S21" s="20" t="str">
        <f>+"前"&amp;N20&amp;G20</f>
        <v>前HＣ</v>
      </c>
      <c r="T21" s="16">
        <f>IF(M20&lt;&gt;"",M20,"")</f>
        <v>2</v>
      </c>
      <c r="U21" s="16">
        <f>IF(I20&lt;&gt;"",I20,"")</f>
        <v>3</v>
      </c>
      <c r="V21" s="21">
        <f>+B20</f>
        <v>40350</v>
      </c>
      <c r="X21" s="117">
        <f t="shared" si="0"/>
        <v>6</v>
      </c>
      <c r="Y21" s="117">
        <f t="shared" si="1"/>
        <v>22</v>
      </c>
      <c r="Z21" s="117" t="str">
        <f t="shared" si="2"/>
        <v> 6/22</v>
      </c>
      <c r="AA21" s="117" t="str">
        <f t="shared" si="3"/>
        <v>●</v>
      </c>
      <c r="AB21" s="14" t="str">
        <f aca="true" t="shared" si="7" ref="AB21:AB27">IF(T21&lt;&gt;"",O20,"")</f>
        <v>CROSS</v>
      </c>
      <c r="AC21" s="117" t="str">
        <f>+Z21&amp;" "&amp;AA21&amp;" "&amp;T21&amp;"-"&amp;U21&amp;" "&amp;H20</f>
        <v> 6/22 ● 2-3 かちかち山</v>
      </c>
      <c r="AD21" s="14">
        <f>+L20</f>
        <v>1</v>
      </c>
      <c r="AE21" s="14">
        <f>+L21</f>
        <v>1</v>
      </c>
      <c r="AF21" s="14">
        <f>+J20</f>
        <v>2</v>
      </c>
      <c r="AG21" s="14">
        <f>+J21</f>
        <v>1</v>
      </c>
      <c r="AH21" s="121">
        <f t="shared" si="5"/>
        <v>40350</v>
      </c>
    </row>
    <row r="22" spans="1:34" ht="15.75" customHeight="1">
      <c r="A22" s="289"/>
      <c r="B22" s="292"/>
      <c r="C22" s="311"/>
      <c r="D22" s="297">
        <v>2</v>
      </c>
      <c r="E22" s="282">
        <v>0.45138888888888895</v>
      </c>
      <c r="F22" s="312">
        <v>0.513888888888889</v>
      </c>
      <c r="G22" s="86" t="s">
        <v>23</v>
      </c>
      <c r="H22" s="316" t="str">
        <f>VLOOKUP(G22,'参加チーム'!$B$5:$G$73,IF($N$2=1,4,5),FALSE)</f>
        <v>ヴォスクオーレ</v>
      </c>
      <c r="I22" s="304">
        <f>IF(J22&lt;&gt;"",J22+J23,"")</f>
        <v>5</v>
      </c>
      <c r="J22" s="116">
        <v>2</v>
      </c>
      <c r="K22" s="303" t="s">
        <v>86</v>
      </c>
      <c r="L22" s="116">
        <v>1</v>
      </c>
      <c r="M22" s="304">
        <f>IF(L22&lt;&gt;"",L22+L23,"")</f>
        <v>1</v>
      </c>
      <c r="N22" s="86" t="s">
        <v>245</v>
      </c>
      <c r="O22" s="316" t="str">
        <f>VLOOKUP(N22,'参加チーム'!$B$5:$G$73,IF($N$2=1,4,5),FALSE)</f>
        <v>Sabedoria</v>
      </c>
      <c r="P22" s="325" t="str">
        <f>+O22</f>
        <v>Sabedoria</v>
      </c>
      <c r="Q22" s="323"/>
      <c r="S22" s="20" t="str">
        <f>+"前"&amp;G22&amp;N22</f>
        <v>前ＢＥ</v>
      </c>
      <c r="T22" s="16">
        <f>+I22</f>
        <v>5</v>
      </c>
      <c r="U22" s="16">
        <f>+M22</f>
        <v>1</v>
      </c>
      <c r="V22" s="21">
        <f>+B20</f>
        <v>40350</v>
      </c>
      <c r="X22" s="117">
        <f t="shared" si="0"/>
        <v>6</v>
      </c>
      <c r="Y22" s="117">
        <f t="shared" si="1"/>
        <v>22</v>
      </c>
      <c r="Z22" s="117" t="str">
        <f t="shared" si="2"/>
        <v> 6/22</v>
      </c>
      <c r="AA22" s="117" t="str">
        <f t="shared" si="3"/>
        <v>○</v>
      </c>
      <c r="AB22" s="14" t="str">
        <f>IF(T22&lt;&gt;"",H22,"")</f>
        <v>ヴォスクオーレ</v>
      </c>
      <c r="AC22" s="117" t="str">
        <f>+Z22&amp;" "&amp;AA22&amp;" "&amp;T22&amp;"-"&amp;U22&amp;" "&amp;O22</f>
        <v> 6/22 ○ 5-1 Sabedoria</v>
      </c>
      <c r="AD22" s="14">
        <f>+J22</f>
        <v>2</v>
      </c>
      <c r="AE22" s="14">
        <f>+J23</f>
        <v>3</v>
      </c>
      <c r="AF22" s="14">
        <f>+L22</f>
        <v>1</v>
      </c>
      <c r="AG22" s="14">
        <f>+L23</f>
        <v>0</v>
      </c>
      <c r="AH22" s="121">
        <f t="shared" si="5"/>
        <v>40350</v>
      </c>
    </row>
    <row r="23" spans="1:34" ht="15.75" customHeight="1">
      <c r="A23" s="289"/>
      <c r="B23" s="292"/>
      <c r="C23" s="294" t="s">
        <v>125</v>
      </c>
      <c r="D23" s="309"/>
      <c r="E23" s="281"/>
      <c r="F23" s="307"/>
      <c r="G23" s="85" t="str">
        <f>LEFT(VLOOKUP(G22,'参加チーム'!$B$5:$G$73,6,FALSE),2)</f>
        <v>宮城</v>
      </c>
      <c r="H23" s="317"/>
      <c r="I23" s="281"/>
      <c r="J23" s="116">
        <v>3</v>
      </c>
      <c r="K23" s="302"/>
      <c r="L23" s="116">
        <v>0</v>
      </c>
      <c r="M23" s="281"/>
      <c r="N23" s="85" t="str">
        <f>LEFT(VLOOKUP(N22,'参加チーム'!$B$5:$G$73,6,FALSE),2)</f>
        <v>岩手</v>
      </c>
      <c r="O23" s="317"/>
      <c r="P23" s="307"/>
      <c r="Q23" s="323"/>
      <c r="S23" s="20" t="str">
        <f>+"前"&amp;N22&amp;G22</f>
        <v>前ＥＢ</v>
      </c>
      <c r="T23" s="16">
        <f>+M22</f>
        <v>1</v>
      </c>
      <c r="U23" s="16">
        <f>+I22</f>
        <v>5</v>
      </c>
      <c r="V23" s="21">
        <f>+B20</f>
        <v>40350</v>
      </c>
      <c r="X23" s="117">
        <f t="shared" si="0"/>
        <v>6</v>
      </c>
      <c r="Y23" s="117">
        <f t="shared" si="1"/>
        <v>22</v>
      </c>
      <c r="Z23" s="117" t="str">
        <f t="shared" si="2"/>
        <v> 6/22</v>
      </c>
      <c r="AA23" s="117" t="str">
        <f t="shared" si="3"/>
        <v>●</v>
      </c>
      <c r="AB23" s="14" t="str">
        <f t="shared" si="7"/>
        <v>Sabedoria</v>
      </c>
      <c r="AC23" s="117" t="str">
        <f>+Z23&amp;" "&amp;AA23&amp;" "&amp;T23&amp;"-"&amp;U23&amp;" "&amp;H22</f>
        <v> 6/22 ● 1-5 ヴォスクオーレ</v>
      </c>
      <c r="AD23" s="14">
        <f>+L22</f>
        <v>1</v>
      </c>
      <c r="AE23" s="14">
        <f>+L23</f>
        <v>0</v>
      </c>
      <c r="AF23" s="14">
        <f>+J22</f>
        <v>2</v>
      </c>
      <c r="AG23" s="14">
        <f>+J23</f>
        <v>3</v>
      </c>
      <c r="AH23" s="121">
        <f t="shared" si="5"/>
        <v>40350</v>
      </c>
    </row>
    <row r="24" spans="1:34" ht="15.75" customHeight="1">
      <c r="A24" s="289"/>
      <c r="B24" s="292"/>
      <c r="C24" s="295"/>
      <c r="D24" s="304">
        <v>3</v>
      </c>
      <c r="E24" s="283">
        <v>0.5277777777777778</v>
      </c>
      <c r="F24" s="312">
        <v>0.5902777777777778</v>
      </c>
      <c r="G24" s="86" t="s">
        <v>27</v>
      </c>
      <c r="H24" s="316" t="str">
        <f>VLOOKUP(G24,'参加チーム'!$B$5:$G$73,IF($N$2=1,4,5),FALSE)</f>
        <v>malva</v>
      </c>
      <c r="I24" s="304">
        <f>IF(J24&lt;&gt;"",J24+J25,"")</f>
        <v>3</v>
      </c>
      <c r="J24" s="116">
        <v>0</v>
      </c>
      <c r="K24" s="303" t="s">
        <v>86</v>
      </c>
      <c r="L24" s="116">
        <v>5</v>
      </c>
      <c r="M24" s="304">
        <f>IF(L24&lt;&gt;"",L24+L25,"")</f>
        <v>12</v>
      </c>
      <c r="N24" s="86" t="s">
        <v>246</v>
      </c>
      <c r="O24" s="316" t="str">
        <f>VLOOKUP(N24,'参加チーム'!$B$5:$G$73,IF($N$2=1,4,5),FALSE)</f>
        <v>D-GUCCI</v>
      </c>
      <c r="P24" s="325" t="str">
        <f>+O24</f>
        <v>D-GUCCI</v>
      </c>
      <c r="Q24" s="323"/>
      <c r="S24" s="20" t="str">
        <f>+"前"&amp;G24&amp;N24</f>
        <v>前ＤG</v>
      </c>
      <c r="T24" s="16">
        <f>+I24</f>
        <v>3</v>
      </c>
      <c r="U24" s="16">
        <f>+M24</f>
        <v>12</v>
      </c>
      <c r="V24" s="21">
        <f>+B20</f>
        <v>40350</v>
      </c>
      <c r="X24" s="117">
        <f t="shared" si="0"/>
        <v>6</v>
      </c>
      <c r="Y24" s="117">
        <f t="shared" si="1"/>
        <v>22</v>
      </c>
      <c r="Z24" s="117" t="str">
        <f t="shared" si="2"/>
        <v> 6/22</v>
      </c>
      <c r="AA24" s="117" t="str">
        <f t="shared" si="3"/>
        <v>●</v>
      </c>
      <c r="AB24" s="14" t="str">
        <f>IF(T24&lt;&gt;"",H24,"")</f>
        <v>malva</v>
      </c>
      <c r="AC24" s="117" t="str">
        <f>+Z24&amp;" "&amp;AA24&amp;" "&amp;T24&amp;"-"&amp;U24&amp;" "&amp;O24</f>
        <v> 6/22 ● 3-12 D-GUCCI</v>
      </c>
      <c r="AD24" s="14">
        <f>+J24</f>
        <v>0</v>
      </c>
      <c r="AE24" s="14">
        <f>+J25</f>
        <v>3</v>
      </c>
      <c r="AF24" s="14">
        <f>+L24</f>
        <v>5</v>
      </c>
      <c r="AG24" s="14">
        <f>+L25</f>
        <v>7</v>
      </c>
      <c r="AH24" s="121">
        <f t="shared" si="5"/>
        <v>40350</v>
      </c>
    </row>
    <row r="25" spans="1:34" ht="15.75" customHeight="1">
      <c r="A25" s="289"/>
      <c r="B25" s="292"/>
      <c r="C25" s="295"/>
      <c r="D25" s="281"/>
      <c r="E25" s="284"/>
      <c r="F25" s="307"/>
      <c r="G25" s="85" t="str">
        <f>LEFT(VLOOKUP(G24,'参加チーム'!$B$5:$G$73,6,FALSE),2)</f>
        <v>山形</v>
      </c>
      <c r="H25" s="317"/>
      <c r="I25" s="281"/>
      <c r="J25" s="116">
        <v>3</v>
      </c>
      <c r="K25" s="302"/>
      <c r="L25" s="116">
        <v>7</v>
      </c>
      <c r="M25" s="281"/>
      <c r="N25" s="85" t="str">
        <f>LEFT(VLOOKUP(N24,'参加チーム'!$B$5:$G$73,6,FALSE),2)</f>
        <v>宮城</v>
      </c>
      <c r="O25" s="317"/>
      <c r="P25" s="307"/>
      <c r="Q25" s="323"/>
      <c r="S25" s="20" t="str">
        <f>+"前"&amp;N24&amp;G24</f>
        <v>前GＤ</v>
      </c>
      <c r="T25" s="16">
        <f>+M24</f>
        <v>12</v>
      </c>
      <c r="U25" s="16">
        <f>+I24</f>
        <v>3</v>
      </c>
      <c r="V25" s="21">
        <f>+B20</f>
        <v>40350</v>
      </c>
      <c r="X25" s="117">
        <f t="shared" si="0"/>
        <v>6</v>
      </c>
      <c r="Y25" s="117">
        <f t="shared" si="1"/>
        <v>22</v>
      </c>
      <c r="Z25" s="117" t="str">
        <f t="shared" si="2"/>
        <v> 6/22</v>
      </c>
      <c r="AA25" s="117" t="str">
        <f t="shared" si="3"/>
        <v>○</v>
      </c>
      <c r="AB25" s="14" t="str">
        <f t="shared" si="7"/>
        <v>D-GUCCI</v>
      </c>
      <c r="AC25" s="117" t="str">
        <f>+Z25&amp;" "&amp;AA25&amp;" "&amp;T25&amp;"-"&amp;U25&amp;" "&amp;H24</f>
        <v> 6/22 ○ 12-3 malva</v>
      </c>
      <c r="AD25" s="14">
        <f>+L24</f>
        <v>5</v>
      </c>
      <c r="AE25" s="14">
        <f>+L25</f>
        <v>7</v>
      </c>
      <c r="AF25" s="14">
        <f>+J24</f>
        <v>0</v>
      </c>
      <c r="AG25" s="14">
        <f>+J25</f>
        <v>3</v>
      </c>
      <c r="AH25" s="121">
        <f t="shared" si="5"/>
        <v>40350</v>
      </c>
    </row>
    <row r="26" spans="1:34" ht="15.75" customHeight="1">
      <c r="A26" s="289"/>
      <c r="B26" s="292"/>
      <c r="C26" s="295"/>
      <c r="D26" s="297">
        <v>4</v>
      </c>
      <c r="E26" s="283">
        <v>0.6041666666666666</v>
      </c>
      <c r="F26" s="312">
        <v>0.6666666666666666</v>
      </c>
      <c r="G26" s="86" t="s">
        <v>244</v>
      </c>
      <c r="H26" s="319" t="str">
        <f>VLOOKUP(G26,'参加チーム'!$B$5:$G$73,IF($N$2=1,4,5),FALSE)</f>
        <v>BANFF</v>
      </c>
      <c r="I26" s="304">
        <f>IF(J26&lt;&gt;"",J26+J27,"")</f>
        <v>3</v>
      </c>
      <c r="J26" s="116">
        <v>0</v>
      </c>
      <c r="K26" s="303" t="s">
        <v>86</v>
      </c>
      <c r="L26" s="116">
        <v>1</v>
      </c>
      <c r="M26" s="304">
        <f>IF(L26&lt;&gt;"",L26+L27,"")</f>
        <v>4</v>
      </c>
      <c r="N26" s="86" t="s">
        <v>247</v>
      </c>
      <c r="O26" s="319" t="str">
        <f>VLOOKUP(N26,'参加チーム'!$B$5:$G$73,IF($N$2=1,4,5),FALSE)</f>
        <v>volviendo</v>
      </c>
      <c r="P26" s="325" t="str">
        <f>+O26</f>
        <v>volviendo</v>
      </c>
      <c r="Q26" s="323"/>
      <c r="S26" s="20" t="str">
        <f>+"前"&amp;G26&amp;N26</f>
        <v>前ＡＦ</v>
      </c>
      <c r="T26" s="16">
        <f>+I26</f>
        <v>3</v>
      </c>
      <c r="U26" s="16">
        <f>+M26</f>
        <v>4</v>
      </c>
      <c r="V26" s="21">
        <f>+B20</f>
        <v>40350</v>
      </c>
      <c r="X26" s="117">
        <f t="shared" si="0"/>
        <v>6</v>
      </c>
      <c r="Y26" s="117">
        <f t="shared" si="1"/>
        <v>22</v>
      </c>
      <c r="Z26" s="117" t="str">
        <f t="shared" si="2"/>
        <v> 6/22</v>
      </c>
      <c r="AA26" s="117" t="str">
        <f t="shared" si="3"/>
        <v>●</v>
      </c>
      <c r="AB26" s="14" t="str">
        <f>IF(T26&lt;&gt;"",H26,"")</f>
        <v>BANFF</v>
      </c>
      <c r="AC26" s="117" t="str">
        <f>+Z26&amp;" "&amp;AA26&amp;" "&amp;T26&amp;"-"&amp;U26&amp;" "&amp;O26</f>
        <v> 6/22 ● 3-4 volviendo</v>
      </c>
      <c r="AD26" s="14">
        <f>+J26</f>
        <v>0</v>
      </c>
      <c r="AE26" s="14">
        <f>+J27</f>
        <v>3</v>
      </c>
      <c r="AF26" s="14">
        <f>+L26</f>
        <v>1</v>
      </c>
      <c r="AG26" s="14">
        <f>+L27</f>
        <v>3</v>
      </c>
      <c r="AH26" s="121">
        <f t="shared" si="5"/>
        <v>40350</v>
      </c>
    </row>
    <row r="27" spans="1:34" ht="15.75" customHeight="1" thickBot="1">
      <c r="A27" s="290"/>
      <c r="B27" s="293"/>
      <c r="C27" s="296"/>
      <c r="D27" s="298"/>
      <c r="E27" s="285"/>
      <c r="F27" s="315"/>
      <c r="G27" s="85" t="str">
        <f>LEFT(VLOOKUP(G26,'参加チーム'!$B$5:$G$73,6,FALSE),2)</f>
        <v>宮城</v>
      </c>
      <c r="H27" s="320"/>
      <c r="I27" s="305"/>
      <c r="J27" s="125">
        <v>3</v>
      </c>
      <c r="K27" s="321"/>
      <c r="L27" s="125">
        <v>3</v>
      </c>
      <c r="M27" s="305"/>
      <c r="N27" s="85" t="str">
        <f>LEFT(VLOOKUP(N26,'参加チーム'!$B$5:$G$73,6,FALSE),2)</f>
        <v>福島</v>
      </c>
      <c r="O27" s="320"/>
      <c r="P27" s="315"/>
      <c r="Q27" s="324"/>
      <c r="S27" s="22" t="str">
        <f>+"前"&amp;N26&amp;G26</f>
        <v>前ＦＡ</v>
      </c>
      <c r="T27" s="23">
        <f>+M26</f>
        <v>4</v>
      </c>
      <c r="U27" s="23">
        <f>+I26</f>
        <v>3</v>
      </c>
      <c r="V27" s="24">
        <f>+B20</f>
        <v>40350</v>
      </c>
      <c r="X27" s="117">
        <f t="shared" si="0"/>
        <v>6</v>
      </c>
      <c r="Y27" s="117">
        <f t="shared" si="1"/>
        <v>22</v>
      </c>
      <c r="Z27" s="117" t="str">
        <f t="shared" si="2"/>
        <v> 6/22</v>
      </c>
      <c r="AA27" s="117" t="str">
        <f t="shared" si="3"/>
        <v>○</v>
      </c>
      <c r="AB27" s="14" t="str">
        <f t="shared" si="7"/>
        <v>volviendo</v>
      </c>
      <c r="AC27" s="117" t="str">
        <f>+Z27&amp;" "&amp;AA27&amp;" "&amp;T27&amp;"-"&amp;U27&amp;" "&amp;H26</f>
        <v> 6/22 ○ 4-3 BANFF</v>
      </c>
      <c r="AD27" s="14">
        <f>+L26</f>
        <v>1</v>
      </c>
      <c r="AE27" s="14">
        <f>+L27</f>
        <v>3</v>
      </c>
      <c r="AF27" s="14">
        <f>+J26</f>
        <v>0</v>
      </c>
      <c r="AG27" s="14">
        <f>+J27</f>
        <v>3</v>
      </c>
      <c r="AH27" s="121">
        <f t="shared" si="5"/>
        <v>40350</v>
      </c>
    </row>
    <row r="28" spans="1:34" ht="15.75" customHeight="1">
      <c r="A28" s="288">
        <v>4</v>
      </c>
      <c r="B28" s="341">
        <v>40356</v>
      </c>
      <c r="C28" s="343" t="s">
        <v>235</v>
      </c>
      <c r="D28" s="330">
        <v>4</v>
      </c>
      <c r="E28" s="344">
        <v>0.6041666666666666</v>
      </c>
      <c r="F28" s="332">
        <v>0.6666666666666666</v>
      </c>
      <c r="G28" s="128" t="s">
        <v>112</v>
      </c>
      <c r="H28" s="339" t="str">
        <f>VLOOKUP(G28,'参加チーム'!$B$5:$G$73,IF($N$2=1,4,5),FALSE)</f>
        <v>D-GUCCI</v>
      </c>
      <c r="I28" s="334">
        <f>IF(J28&lt;&gt;"",J28+J29,"")</f>
        <v>2</v>
      </c>
      <c r="J28" s="129">
        <v>0</v>
      </c>
      <c r="K28" s="337" t="s">
        <v>86</v>
      </c>
      <c r="L28" s="129">
        <v>0</v>
      </c>
      <c r="M28" s="334">
        <f>IF(L28&lt;&gt;"",L28+L29,"")</f>
        <v>1</v>
      </c>
      <c r="N28" s="128" t="s">
        <v>15</v>
      </c>
      <c r="O28" s="339" t="str">
        <f>VLOOKUP(N28,'参加チーム'!$B$5:$G$73,IF($N$2=1,4,5),FALSE)</f>
        <v>CROSS</v>
      </c>
      <c r="P28" s="336" t="str">
        <f>+O28</f>
        <v>CROSS</v>
      </c>
      <c r="Q28" s="322"/>
      <c r="S28" s="20" t="str">
        <f>+"前"&amp;G28&amp;N28</f>
        <v>前GH</v>
      </c>
      <c r="T28" s="16">
        <f>+I28</f>
        <v>2</v>
      </c>
      <c r="U28" s="16">
        <f>+M28</f>
        <v>1</v>
      </c>
      <c r="V28" s="21">
        <f>+B28</f>
        <v>40356</v>
      </c>
      <c r="X28" s="117">
        <f>MONTH(V28)</f>
        <v>6</v>
      </c>
      <c r="Y28" s="117">
        <f>DAY(V28)</f>
        <v>28</v>
      </c>
      <c r="Z28" s="117" t="str">
        <f>IF(LEN(X28)=1," ","")&amp;X28&amp;"/"&amp;IF(LEN(Y28)=1," ","")&amp;Y28</f>
        <v> 6/28</v>
      </c>
      <c r="AA28" s="117" t="str">
        <f>IF(T28&gt;U28,"○",IF(T28&lt;U28,"●","△"))</f>
        <v>○</v>
      </c>
      <c r="AB28" s="14" t="str">
        <f>IF(T28&lt;&gt;"",H28,"")</f>
        <v>D-GUCCI</v>
      </c>
      <c r="AC28" s="117" t="str">
        <f>+Z28&amp;" "&amp;AA28&amp;" "&amp;T28&amp;"-"&amp;U28&amp;" "&amp;O28</f>
        <v> 6/28 ○ 2-1 CROSS</v>
      </c>
      <c r="AD28" s="14">
        <f>+J28</f>
        <v>0</v>
      </c>
      <c r="AE28" s="14">
        <f>+J29</f>
        <v>2</v>
      </c>
      <c r="AF28" s="14">
        <f>+L28</f>
        <v>0</v>
      </c>
      <c r="AG28" s="14">
        <f>+L29</f>
        <v>1</v>
      </c>
      <c r="AH28" s="121">
        <f>+V28</f>
        <v>40356</v>
      </c>
    </row>
    <row r="29" spans="1:34" ht="15.75" customHeight="1" thickBot="1">
      <c r="A29" s="290"/>
      <c r="B29" s="342"/>
      <c r="C29" s="329"/>
      <c r="D29" s="331"/>
      <c r="E29" s="345"/>
      <c r="F29" s="333"/>
      <c r="G29" s="130" t="str">
        <f>LEFT(VLOOKUP(G28,'参加チーム'!$B$5:$G$73,6,FALSE),2)</f>
        <v>宮城</v>
      </c>
      <c r="H29" s="340"/>
      <c r="I29" s="335"/>
      <c r="J29" s="131">
        <v>2</v>
      </c>
      <c r="K29" s="338"/>
      <c r="L29" s="131">
        <v>1</v>
      </c>
      <c r="M29" s="335"/>
      <c r="N29" s="130" t="str">
        <f>LEFT(VLOOKUP(N28,'参加チーム'!$B$5:$G$73,6,FALSE),2)</f>
        <v>岩手</v>
      </c>
      <c r="O29" s="340"/>
      <c r="P29" s="333"/>
      <c r="Q29" s="324"/>
      <c r="S29" s="20" t="str">
        <f>+"前"&amp;N28&amp;G28</f>
        <v>前HG</v>
      </c>
      <c r="T29" s="16">
        <f>+M28</f>
        <v>1</v>
      </c>
      <c r="U29" s="16">
        <f>+I28</f>
        <v>2</v>
      </c>
      <c r="V29" s="21">
        <f>+B28</f>
        <v>40356</v>
      </c>
      <c r="X29" s="117">
        <f>MONTH(V29)</f>
        <v>6</v>
      </c>
      <c r="Y29" s="117">
        <f>DAY(V29)</f>
        <v>28</v>
      </c>
      <c r="Z29" s="117" t="str">
        <f>IF(LEN(X29)=1," ","")&amp;X29&amp;"/"&amp;IF(LEN(Y29)=1," ","")&amp;Y29</f>
        <v> 6/28</v>
      </c>
      <c r="AA29" s="117" t="str">
        <f>IF(T29&gt;U29,"○",IF(T29&lt;U29,"●","△"))</f>
        <v>●</v>
      </c>
      <c r="AB29" s="14" t="str">
        <f>IF(T29&lt;&gt;"",O28,"")</f>
        <v>CROSS</v>
      </c>
      <c r="AC29" s="117" t="str">
        <f>+Z29&amp;" "&amp;AA29&amp;" "&amp;T29&amp;"-"&amp;U29&amp;" "&amp;H28</f>
        <v> 6/28 ● 1-2 D-GUCCI</v>
      </c>
      <c r="AD29" s="14">
        <f>+L28</f>
        <v>0</v>
      </c>
      <c r="AE29" s="14">
        <f>+L29</f>
        <v>1</v>
      </c>
      <c r="AF29" s="14">
        <f>+J28</f>
        <v>0</v>
      </c>
      <c r="AG29" s="14">
        <f>+J29</f>
        <v>2</v>
      </c>
      <c r="AH29" s="121">
        <f>+V29</f>
        <v>40356</v>
      </c>
    </row>
    <row r="30" spans="1:34" ht="15.75" customHeight="1">
      <c r="A30" s="288">
        <v>4</v>
      </c>
      <c r="B30" s="291">
        <v>40364</v>
      </c>
      <c r="C30" s="314" t="s">
        <v>87</v>
      </c>
      <c r="D30" s="308">
        <v>1</v>
      </c>
      <c r="E30" s="280">
        <v>0.3958333333333333</v>
      </c>
      <c r="F30" s="306">
        <v>0.4375</v>
      </c>
      <c r="G30" s="84" t="s">
        <v>234</v>
      </c>
      <c r="H30" s="318" t="str">
        <f>VLOOKUP(G30,'参加チーム'!$B$5:$G$73,IF($N$2=1,4,5),FALSE)</f>
        <v>Sabedoria</v>
      </c>
      <c r="I30" s="300">
        <f>IF(J30&lt;&gt;"",J30+J31,"")</f>
        <v>3</v>
      </c>
      <c r="J30" s="123">
        <v>0</v>
      </c>
      <c r="K30" s="301" t="s">
        <v>86</v>
      </c>
      <c r="L30" s="123">
        <v>1</v>
      </c>
      <c r="M30" s="300">
        <f>IF(L30&lt;&gt;"",L30+L31,"")</f>
        <v>5</v>
      </c>
      <c r="N30" s="84" t="s">
        <v>31</v>
      </c>
      <c r="O30" s="318" t="str">
        <f>VLOOKUP(N30,'参加チーム'!$B$5:$G$73,IF($N$2=1,4,5),FALSE)</f>
        <v>BANFF</v>
      </c>
      <c r="P30" s="326" t="str">
        <f>+O30</f>
        <v>BANFF</v>
      </c>
      <c r="Q30" s="322" t="str">
        <f>+O34</f>
        <v>ヴォスクオーレ</v>
      </c>
      <c r="S30" s="17" t="str">
        <f>+"前"&amp;G30&amp;N30</f>
        <v>前ＥＡ</v>
      </c>
      <c r="T30" s="18">
        <f>IF(I30&lt;&gt;"",I30,"")</f>
        <v>3</v>
      </c>
      <c r="U30" s="18">
        <f>IF(M30&lt;&gt;"",M30,"")</f>
        <v>5</v>
      </c>
      <c r="V30" s="19">
        <f>+B30</f>
        <v>40364</v>
      </c>
      <c r="X30" s="117">
        <f t="shared" si="0"/>
        <v>7</v>
      </c>
      <c r="Y30" s="117">
        <f t="shared" si="1"/>
        <v>6</v>
      </c>
      <c r="Z30" s="117" t="str">
        <f t="shared" si="2"/>
        <v> 7/ 6</v>
      </c>
      <c r="AA30" s="117" t="str">
        <f t="shared" si="3"/>
        <v>●</v>
      </c>
      <c r="AB30" s="14" t="str">
        <f>IF(T30&lt;&gt;"",H30,"")</f>
        <v>Sabedoria</v>
      </c>
      <c r="AC30" s="117" t="str">
        <f>+Z30&amp;" "&amp;AA30&amp;" "&amp;T30&amp;"-"&amp;U30&amp;" "&amp;O30</f>
        <v> 7/ 6 ● 3-5 BANFF</v>
      </c>
      <c r="AD30" s="14">
        <f>+J30</f>
        <v>0</v>
      </c>
      <c r="AE30" s="14">
        <f>+J31</f>
        <v>3</v>
      </c>
      <c r="AF30" s="14">
        <f>+L30</f>
        <v>1</v>
      </c>
      <c r="AG30" s="14">
        <f>+L31</f>
        <v>4</v>
      </c>
      <c r="AH30" s="121">
        <f t="shared" si="5"/>
        <v>40364</v>
      </c>
    </row>
    <row r="31" spans="1:34" ht="15.75" customHeight="1">
      <c r="A31" s="289"/>
      <c r="B31" s="292"/>
      <c r="C31" s="311"/>
      <c r="D31" s="309"/>
      <c r="E31" s="281"/>
      <c r="F31" s="307"/>
      <c r="G31" s="85" t="str">
        <f>LEFT(VLOOKUP(G30,'参加チーム'!$B$5:$G$73,6,FALSE),2)</f>
        <v>岩手</v>
      </c>
      <c r="H31" s="317"/>
      <c r="I31" s="281"/>
      <c r="J31" s="116">
        <v>3</v>
      </c>
      <c r="K31" s="302"/>
      <c r="L31" s="116">
        <v>4</v>
      </c>
      <c r="M31" s="281"/>
      <c r="N31" s="85" t="str">
        <f>LEFT(VLOOKUP(N30,'参加チーム'!$B$5:$G$73,6,FALSE),2)</f>
        <v>宮城</v>
      </c>
      <c r="O31" s="317"/>
      <c r="P31" s="307"/>
      <c r="Q31" s="323"/>
      <c r="S31" s="20" t="str">
        <f>+"前"&amp;N30&amp;G30</f>
        <v>前ＡＥ</v>
      </c>
      <c r="T31" s="16">
        <f>IF(M30&lt;&gt;"",M30,"")</f>
        <v>5</v>
      </c>
      <c r="U31" s="16">
        <f>IF(I30&lt;&gt;"",I30,"")</f>
        <v>3</v>
      </c>
      <c r="V31" s="21">
        <f>+B30</f>
        <v>40364</v>
      </c>
      <c r="X31" s="117">
        <f t="shared" si="0"/>
        <v>7</v>
      </c>
      <c r="Y31" s="117">
        <f t="shared" si="1"/>
        <v>6</v>
      </c>
      <c r="Z31" s="117" t="str">
        <f t="shared" si="2"/>
        <v> 7/ 6</v>
      </c>
      <c r="AA31" s="117" t="str">
        <f t="shared" si="3"/>
        <v>○</v>
      </c>
      <c r="AB31" s="14" t="str">
        <f aca="true" t="shared" si="8" ref="AB31:AB37">IF(T31&lt;&gt;"",O30,"")</f>
        <v>BANFF</v>
      </c>
      <c r="AC31" s="117" t="str">
        <f>+Z31&amp;" "&amp;AA31&amp;" "&amp;T31&amp;"-"&amp;U31&amp;" "&amp;H30</f>
        <v> 7/ 6 ○ 5-3 Sabedoria</v>
      </c>
      <c r="AD31" s="14">
        <f>+L30</f>
        <v>1</v>
      </c>
      <c r="AE31" s="14">
        <f>+L31</f>
        <v>4</v>
      </c>
      <c r="AF31" s="14">
        <f>+J30</f>
        <v>0</v>
      </c>
      <c r="AG31" s="14">
        <f>+J31</f>
        <v>3</v>
      </c>
      <c r="AH31" s="121">
        <f t="shared" si="5"/>
        <v>40364</v>
      </c>
    </row>
    <row r="32" spans="1:34" ht="15.75" customHeight="1">
      <c r="A32" s="289"/>
      <c r="B32" s="292"/>
      <c r="C32" s="311"/>
      <c r="D32" s="297">
        <v>2</v>
      </c>
      <c r="E32" s="282">
        <v>0.45138888888888895</v>
      </c>
      <c r="F32" s="312">
        <v>0.513888888888889</v>
      </c>
      <c r="G32" s="86" t="s">
        <v>25</v>
      </c>
      <c r="H32" s="316" t="str">
        <f>VLOOKUP(G32,'参加チーム'!$B$5:$G$73,IF($N$2=1,4,5),FALSE)</f>
        <v>かちかち山</v>
      </c>
      <c r="I32" s="304">
        <f>IF(J32&lt;&gt;"",J32+J33,"")</f>
        <v>1</v>
      </c>
      <c r="J32" s="116">
        <v>1</v>
      </c>
      <c r="K32" s="303" t="s">
        <v>86</v>
      </c>
      <c r="L32" s="116">
        <v>1</v>
      </c>
      <c r="M32" s="304">
        <f>IF(L32&lt;&gt;"",L32+L33,"")</f>
        <v>3</v>
      </c>
      <c r="N32" s="86" t="s">
        <v>26</v>
      </c>
      <c r="O32" s="316" t="str">
        <f>VLOOKUP(N32,'参加チーム'!$B$5:$G$73,IF($N$2=1,4,5),FALSE)</f>
        <v>malva</v>
      </c>
      <c r="P32" s="325" t="str">
        <f>+O32</f>
        <v>malva</v>
      </c>
      <c r="Q32" s="323"/>
      <c r="S32" s="20" t="str">
        <f>+"前"&amp;G32&amp;N32</f>
        <v>前ＣＤ</v>
      </c>
      <c r="T32" s="16">
        <f>+I32</f>
        <v>1</v>
      </c>
      <c r="U32" s="16">
        <f>+M32</f>
        <v>3</v>
      </c>
      <c r="V32" s="21">
        <f>+B30</f>
        <v>40364</v>
      </c>
      <c r="X32" s="117">
        <f t="shared" si="0"/>
        <v>7</v>
      </c>
      <c r="Y32" s="117">
        <f t="shared" si="1"/>
        <v>6</v>
      </c>
      <c r="Z32" s="117" t="str">
        <f t="shared" si="2"/>
        <v> 7/ 6</v>
      </c>
      <c r="AA32" s="117" t="str">
        <f t="shared" si="3"/>
        <v>●</v>
      </c>
      <c r="AB32" s="14" t="str">
        <f>IF(T32&lt;&gt;"",H32,"")</f>
        <v>かちかち山</v>
      </c>
      <c r="AC32" s="117" t="str">
        <f>+Z32&amp;" "&amp;AA32&amp;" "&amp;T32&amp;"-"&amp;U32&amp;" "&amp;O32</f>
        <v> 7/ 6 ● 1-3 malva</v>
      </c>
      <c r="AD32" s="14">
        <f>+J32</f>
        <v>1</v>
      </c>
      <c r="AE32" s="14">
        <f>+J33</f>
        <v>0</v>
      </c>
      <c r="AF32" s="14">
        <f>+L32</f>
        <v>1</v>
      </c>
      <c r="AG32" s="14">
        <f>+L33</f>
        <v>2</v>
      </c>
      <c r="AH32" s="121">
        <f t="shared" si="5"/>
        <v>40364</v>
      </c>
    </row>
    <row r="33" spans="1:34" ht="15.75" customHeight="1">
      <c r="A33" s="289"/>
      <c r="B33" s="292"/>
      <c r="C33" s="327" t="s">
        <v>134</v>
      </c>
      <c r="D33" s="309"/>
      <c r="E33" s="281"/>
      <c r="F33" s="307"/>
      <c r="G33" s="85" t="str">
        <f>LEFT(VLOOKUP(G32,'参加チーム'!$B$5:$G$73,6,FALSE),2)</f>
        <v>福島</v>
      </c>
      <c r="H33" s="317"/>
      <c r="I33" s="281"/>
      <c r="J33" s="116">
        <v>0</v>
      </c>
      <c r="K33" s="302"/>
      <c r="L33" s="116">
        <v>2</v>
      </c>
      <c r="M33" s="281"/>
      <c r="N33" s="85" t="str">
        <f>LEFT(VLOOKUP(N32,'参加チーム'!$B$5:$G$73,6,FALSE),2)</f>
        <v>山形</v>
      </c>
      <c r="O33" s="317"/>
      <c r="P33" s="307"/>
      <c r="Q33" s="323"/>
      <c r="S33" s="20" t="str">
        <f>+"前"&amp;N32&amp;G32</f>
        <v>前ＤＣ</v>
      </c>
      <c r="T33" s="16">
        <f>+M32</f>
        <v>3</v>
      </c>
      <c r="U33" s="16">
        <f>+I32</f>
        <v>1</v>
      </c>
      <c r="V33" s="21">
        <f>+B30</f>
        <v>40364</v>
      </c>
      <c r="X33" s="117">
        <f t="shared" si="0"/>
        <v>7</v>
      </c>
      <c r="Y33" s="117">
        <f t="shared" si="1"/>
        <v>6</v>
      </c>
      <c r="Z33" s="117" t="str">
        <f t="shared" si="2"/>
        <v> 7/ 6</v>
      </c>
      <c r="AA33" s="117" t="str">
        <f t="shared" si="3"/>
        <v>○</v>
      </c>
      <c r="AB33" s="14" t="str">
        <f t="shared" si="8"/>
        <v>malva</v>
      </c>
      <c r="AC33" s="117" t="str">
        <f>+Z33&amp;" "&amp;AA33&amp;" "&amp;T33&amp;"-"&amp;U33&amp;" "&amp;H32</f>
        <v> 7/ 6 ○ 3-1 かちかち山</v>
      </c>
      <c r="AD33" s="14">
        <f>+L32</f>
        <v>1</v>
      </c>
      <c r="AE33" s="14">
        <f>+L33</f>
        <v>2</v>
      </c>
      <c r="AF33" s="14">
        <f>+J32</f>
        <v>1</v>
      </c>
      <c r="AG33" s="14">
        <f>+J33</f>
        <v>0</v>
      </c>
      <c r="AH33" s="121">
        <f t="shared" si="5"/>
        <v>40364</v>
      </c>
    </row>
    <row r="34" spans="1:34" ht="15.75" customHeight="1">
      <c r="A34" s="289"/>
      <c r="B34" s="292"/>
      <c r="C34" s="328"/>
      <c r="D34" s="304">
        <v>3</v>
      </c>
      <c r="E34" s="283">
        <v>0.5277777777777778</v>
      </c>
      <c r="F34" s="312">
        <v>0.5902777777777778</v>
      </c>
      <c r="G34" s="86" t="s">
        <v>30</v>
      </c>
      <c r="H34" s="316" t="str">
        <f>VLOOKUP(G34,'参加チーム'!$B$5:$G$73,IF($N$2=1,4,5),FALSE)</f>
        <v>volviendo</v>
      </c>
      <c r="I34" s="304">
        <f>IF(J34&lt;&gt;"",J34+J35,"")</f>
        <v>2</v>
      </c>
      <c r="J34" s="116">
        <v>0</v>
      </c>
      <c r="K34" s="303" t="s">
        <v>86</v>
      </c>
      <c r="L34" s="116">
        <v>2</v>
      </c>
      <c r="M34" s="304">
        <f>IF(L34&lt;&gt;"",L34+L35,"")</f>
        <v>9</v>
      </c>
      <c r="N34" s="86" t="s">
        <v>23</v>
      </c>
      <c r="O34" s="316" t="str">
        <f>VLOOKUP(N34,'参加チーム'!$B$5:$G$73,IF($N$2=1,4,5),FALSE)</f>
        <v>ヴォスクオーレ</v>
      </c>
      <c r="P34" s="325" t="str">
        <f>+O34</f>
        <v>ヴォスクオーレ</v>
      </c>
      <c r="Q34" s="323"/>
      <c r="S34" s="20" t="str">
        <f>+"前"&amp;G34&amp;N34</f>
        <v>前ＦＢ</v>
      </c>
      <c r="T34" s="16">
        <f>+I34</f>
        <v>2</v>
      </c>
      <c r="U34" s="16">
        <f>+M34</f>
        <v>9</v>
      </c>
      <c r="V34" s="21">
        <f>+B30</f>
        <v>40364</v>
      </c>
      <c r="X34" s="117">
        <f t="shared" si="0"/>
        <v>7</v>
      </c>
      <c r="Y34" s="117">
        <f t="shared" si="1"/>
        <v>6</v>
      </c>
      <c r="Z34" s="117" t="str">
        <f t="shared" si="2"/>
        <v> 7/ 6</v>
      </c>
      <c r="AA34" s="117" t="str">
        <f t="shared" si="3"/>
        <v>●</v>
      </c>
      <c r="AB34" s="14" t="str">
        <f>IF(T34&lt;&gt;"",H34,"")</f>
        <v>volviendo</v>
      </c>
      <c r="AC34" s="117" t="str">
        <f>+Z34&amp;" "&amp;AA34&amp;" "&amp;T34&amp;"-"&amp;U34&amp;" "&amp;O34</f>
        <v> 7/ 6 ● 2-9 ヴォスクオーレ</v>
      </c>
      <c r="AD34" s="14">
        <f>+J34</f>
        <v>0</v>
      </c>
      <c r="AE34" s="14">
        <f>+J35</f>
        <v>2</v>
      </c>
      <c r="AF34" s="14">
        <f>+L34</f>
        <v>2</v>
      </c>
      <c r="AG34" s="14">
        <f>+L35</f>
        <v>7</v>
      </c>
      <c r="AH34" s="121">
        <f t="shared" si="5"/>
        <v>40364</v>
      </c>
    </row>
    <row r="35" spans="1:34" ht="15.75" customHeight="1" thickBot="1">
      <c r="A35" s="289"/>
      <c r="B35" s="292"/>
      <c r="C35" s="328"/>
      <c r="D35" s="281"/>
      <c r="E35" s="284"/>
      <c r="F35" s="307"/>
      <c r="G35" s="85" t="str">
        <f>LEFT(VLOOKUP(G34,'参加チーム'!$B$5:$G$73,6,FALSE),2)</f>
        <v>福島</v>
      </c>
      <c r="H35" s="317"/>
      <c r="I35" s="281"/>
      <c r="J35" s="116">
        <v>2</v>
      </c>
      <c r="K35" s="302"/>
      <c r="L35" s="116">
        <v>7</v>
      </c>
      <c r="M35" s="281"/>
      <c r="N35" s="85" t="str">
        <f>LEFT(VLOOKUP(N34,'参加チーム'!$B$5:$G$73,6,FALSE),2)</f>
        <v>宮城</v>
      </c>
      <c r="O35" s="317"/>
      <c r="P35" s="307"/>
      <c r="Q35" s="323"/>
      <c r="S35" s="20" t="str">
        <f>+"前"&amp;N34&amp;G34</f>
        <v>前ＢＦ</v>
      </c>
      <c r="T35" s="16">
        <f>+M34</f>
        <v>9</v>
      </c>
      <c r="U35" s="16">
        <f>+I34</f>
        <v>2</v>
      </c>
      <c r="V35" s="21">
        <f>+B30</f>
        <v>40364</v>
      </c>
      <c r="X35" s="117">
        <f t="shared" si="0"/>
        <v>7</v>
      </c>
      <c r="Y35" s="117">
        <f t="shared" si="1"/>
        <v>6</v>
      </c>
      <c r="Z35" s="117" t="str">
        <f t="shared" si="2"/>
        <v> 7/ 6</v>
      </c>
      <c r="AA35" s="117" t="str">
        <f t="shared" si="3"/>
        <v>○</v>
      </c>
      <c r="AB35" s="14" t="str">
        <f t="shared" si="8"/>
        <v>ヴォスクオーレ</v>
      </c>
      <c r="AC35" s="117" t="str">
        <f>+Z35&amp;" "&amp;AA35&amp;" "&amp;T35&amp;"-"&amp;U35&amp;" "&amp;H34</f>
        <v> 7/ 6 ○ 9-2 volviendo</v>
      </c>
      <c r="AD35" s="14">
        <f>+L34</f>
        <v>2</v>
      </c>
      <c r="AE35" s="14">
        <f>+L35</f>
        <v>7</v>
      </c>
      <c r="AF35" s="14">
        <f>+J34</f>
        <v>0</v>
      </c>
      <c r="AG35" s="14">
        <f>+J35</f>
        <v>2</v>
      </c>
      <c r="AH35" s="121">
        <f t="shared" si="5"/>
        <v>40364</v>
      </c>
    </row>
    <row r="36" spans="1:34" ht="15.75" customHeight="1" hidden="1">
      <c r="A36" s="289"/>
      <c r="B36" s="292"/>
      <c r="C36" s="328"/>
      <c r="D36" s="330">
        <v>4</v>
      </c>
      <c r="E36" s="162"/>
      <c r="F36" s="332">
        <v>0.6666666666666666</v>
      </c>
      <c r="G36" s="128"/>
      <c r="H36" s="339"/>
      <c r="I36" s="334">
        <f>IF(J36&lt;&gt;"",J36+J37,"")</f>
      </c>
      <c r="J36" s="129"/>
      <c r="K36" s="337" t="s">
        <v>86</v>
      </c>
      <c r="L36" s="129"/>
      <c r="M36" s="334">
        <f>IF(L36&lt;&gt;"",L36+L37,"")</f>
      </c>
      <c r="N36" s="128"/>
      <c r="O36" s="339"/>
      <c r="P36" s="336"/>
      <c r="Q36" s="323"/>
      <c r="S36" s="20" t="str">
        <f>+"前"&amp;G36&amp;N36</f>
        <v>前</v>
      </c>
      <c r="T36" s="16">
        <f>+I36</f>
      </c>
      <c r="U36" s="16">
        <f>+M36</f>
      </c>
      <c r="V36" s="21">
        <f>+B30</f>
        <v>40364</v>
      </c>
      <c r="X36" s="117">
        <f t="shared" si="0"/>
        <v>7</v>
      </c>
      <c r="Y36" s="117">
        <f t="shared" si="1"/>
        <v>6</v>
      </c>
      <c r="Z36" s="117" t="str">
        <f t="shared" si="2"/>
        <v> 7/ 6</v>
      </c>
      <c r="AA36" s="117" t="str">
        <f t="shared" si="3"/>
        <v>△</v>
      </c>
      <c r="AB36" s="14">
        <f>IF(T36&lt;&gt;"",H36,"")</f>
      </c>
      <c r="AC36" s="117" t="str">
        <f>+Z36&amp;" "&amp;AA36&amp;" "&amp;T36&amp;"-"&amp;U36&amp;" "&amp;O36</f>
        <v> 7/ 6 △ - </v>
      </c>
      <c r="AD36" s="14">
        <f>+J36</f>
        <v>0</v>
      </c>
      <c r="AE36" s="14">
        <f>+J37</f>
        <v>0</v>
      </c>
      <c r="AF36" s="14">
        <f>+L36</f>
        <v>0</v>
      </c>
      <c r="AG36" s="14">
        <f>+L37</f>
        <v>0</v>
      </c>
      <c r="AH36" s="121">
        <f t="shared" si="5"/>
        <v>40364</v>
      </c>
    </row>
    <row r="37" spans="1:34" ht="15.75" customHeight="1" hidden="1" thickBot="1">
      <c r="A37" s="290"/>
      <c r="B37" s="293"/>
      <c r="C37" s="329"/>
      <c r="D37" s="331"/>
      <c r="E37" s="161"/>
      <c r="F37" s="333"/>
      <c r="G37" s="130"/>
      <c r="H37" s="340"/>
      <c r="I37" s="335"/>
      <c r="J37" s="131"/>
      <c r="K37" s="338"/>
      <c r="L37" s="131"/>
      <c r="M37" s="335"/>
      <c r="N37" s="130"/>
      <c r="O37" s="340"/>
      <c r="P37" s="333"/>
      <c r="Q37" s="324"/>
      <c r="S37" s="22" t="str">
        <f>+"前"&amp;N36&amp;G36</f>
        <v>前</v>
      </c>
      <c r="T37" s="23">
        <f>+M36</f>
      </c>
      <c r="U37" s="23">
        <f>+I36</f>
      </c>
      <c r="V37" s="24">
        <f>+B30</f>
        <v>40364</v>
      </c>
      <c r="X37" s="117">
        <f t="shared" si="0"/>
        <v>7</v>
      </c>
      <c r="Y37" s="117">
        <f t="shared" si="1"/>
        <v>6</v>
      </c>
      <c r="Z37" s="117" t="str">
        <f t="shared" si="2"/>
        <v> 7/ 6</v>
      </c>
      <c r="AA37" s="117" t="str">
        <f t="shared" si="3"/>
        <v>△</v>
      </c>
      <c r="AB37" s="14">
        <f t="shared" si="8"/>
      </c>
      <c r="AC37" s="117" t="str">
        <f>+Z37&amp;" "&amp;AA37&amp;" "&amp;T37&amp;"-"&amp;U37&amp;" "&amp;H36</f>
        <v> 7/ 6 △ - </v>
      </c>
      <c r="AD37" s="14">
        <f>+L36</f>
        <v>0</v>
      </c>
      <c r="AE37" s="14">
        <f>+L37</f>
        <v>0</v>
      </c>
      <c r="AF37" s="14">
        <f>+J36</f>
        <v>0</v>
      </c>
      <c r="AG37" s="14">
        <f>+J37</f>
        <v>0</v>
      </c>
      <c r="AH37" s="121">
        <f t="shared" si="5"/>
        <v>40364</v>
      </c>
    </row>
    <row r="38" spans="1:34" ht="15.75" customHeight="1">
      <c r="A38" s="288">
        <v>5</v>
      </c>
      <c r="B38" s="291">
        <v>40379</v>
      </c>
      <c r="C38" s="314" t="s">
        <v>87</v>
      </c>
      <c r="D38" s="308">
        <v>1</v>
      </c>
      <c r="E38" s="280">
        <v>0.3958333333333333</v>
      </c>
      <c r="F38" s="306">
        <v>0.4375</v>
      </c>
      <c r="G38" s="84" t="s">
        <v>30</v>
      </c>
      <c r="H38" s="318" t="str">
        <f>VLOOKUP(G38,'参加チーム'!$B$5:$G$73,IF($N$2=1,4,5),FALSE)</f>
        <v>volviendo</v>
      </c>
      <c r="I38" s="300">
        <f>IF(J38&lt;&gt;"",J38+J39,"")</f>
        <v>3</v>
      </c>
      <c r="J38" s="123">
        <v>1</v>
      </c>
      <c r="K38" s="301" t="s">
        <v>86</v>
      </c>
      <c r="L38" s="123">
        <v>0</v>
      </c>
      <c r="M38" s="300">
        <f>IF(L38&lt;&gt;"",L38+L39,"")</f>
        <v>1</v>
      </c>
      <c r="N38" s="84" t="s">
        <v>112</v>
      </c>
      <c r="O38" s="318" t="str">
        <f>VLOOKUP(N38,'参加チーム'!$B$5:$G$73,IF($N$2=1,4,5),FALSE)</f>
        <v>D-GUCCI</v>
      </c>
      <c r="P38" s="326" t="str">
        <f>+O38</f>
        <v>D-GUCCI</v>
      </c>
      <c r="Q38" s="322" t="str">
        <f>+O38</f>
        <v>D-GUCCI</v>
      </c>
      <c r="S38" s="17" t="str">
        <f>+"前"&amp;G38&amp;N38</f>
        <v>前ＦG</v>
      </c>
      <c r="T38" s="18">
        <f>IF(I38&lt;&gt;"",I38,"")</f>
        <v>3</v>
      </c>
      <c r="U38" s="18">
        <f>IF(M38&lt;&gt;"",M38,"")</f>
        <v>1</v>
      </c>
      <c r="V38" s="19">
        <f>+B38</f>
        <v>40379</v>
      </c>
      <c r="X38" s="117">
        <f aca="true" t="shared" si="9" ref="X38:X61">MONTH(V38)</f>
        <v>7</v>
      </c>
      <c r="Y38" s="117">
        <f aca="true" t="shared" si="10" ref="Y38:Y61">DAY(V38)</f>
        <v>21</v>
      </c>
      <c r="Z38" s="117" t="str">
        <f aca="true" t="shared" si="11" ref="Z38:Z61">IF(LEN(X38)=1," ","")&amp;X38&amp;"/"&amp;IF(LEN(Y38)=1," ","")&amp;Y38</f>
        <v> 7/21</v>
      </c>
      <c r="AA38" s="117" t="str">
        <f aca="true" t="shared" si="12" ref="AA38:AA61">IF(T38&gt;U38,"○",IF(T38&lt;U38,"●","△"))</f>
        <v>○</v>
      </c>
      <c r="AB38" s="14" t="str">
        <f>IF(T38&lt;&gt;"",H38,"")</f>
        <v>volviendo</v>
      </c>
      <c r="AC38" s="117" t="str">
        <f>+Z38&amp;" "&amp;AA38&amp;" "&amp;T38&amp;"-"&amp;U38&amp;" "&amp;O38</f>
        <v> 7/21 ○ 3-1 D-GUCCI</v>
      </c>
      <c r="AD38" s="14">
        <f>+J38</f>
        <v>1</v>
      </c>
      <c r="AE38" s="14">
        <f>+J39</f>
        <v>2</v>
      </c>
      <c r="AF38" s="14">
        <f>+L38</f>
        <v>0</v>
      </c>
      <c r="AG38" s="14">
        <f>+L39</f>
        <v>1</v>
      </c>
      <c r="AH38" s="121">
        <f t="shared" si="5"/>
        <v>40379</v>
      </c>
    </row>
    <row r="39" spans="1:34" ht="15.75" customHeight="1">
      <c r="A39" s="289"/>
      <c r="B39" s="292"/>
      <c r="C39" s="311"/>
      <c r="D39" s="309"/>
      <c r="E39" s="281"/>
      <c r="F39" s="307"/>
      <c r="G39" s="85" t="str">
        <f>LEFT(VLOOKUP(G38,'参加チーム'!$B$5:$G$73,6,FALSE),2)</f>
        <v>福島</v>
      </c>
      <c r="H39" s="317"/>
      <c r="I39" s="281"/>
      <c r="J39" s="116">
        <v>2</v>
      </c>
      <c r="K39" s="302"/>
      <c r="L39" s="116">
        <v>1</v>
      </c>
      <c r="M39" s="281"/>
      <c r="N39" s="85" t="str">
        <f>LEFT(VLOOKUP(N38,'参加チーム'!$B$5:$G$73,6,FALSE),2)</f>
        <v>宮城</v>
      </c>
      <c r="O39" s="317"/>
      <c r="P39" s="307"/>
      <c r="Q39" s="323"/>
      <c r="S39" s="20" t="str">
        <f>+"前"&amp;N38&amp;G38</f>
        <v>前GＦ</v>
      </c>
      <c r="T39" s="16">
        <f>IF(M38&lt;&gt;"",M38,"")</f>
        <v>1</v>
      </c>
      <c r="U39" s="16">
        <f>IF(I38&lt;&gt;"",I38,"")</f>
        <v>3</v>
      </c>
      <c r="V39" s="21">
        <f>+B38</f>
        <v>40379</v>
      </c>
      <c r="X39" s="117">
        <f t="shared" si="9"/>
        <v>7</v>
      </c>
      <c r="Y39" s="117">
        <f t="shared" si="10"/>
        <v>21</v>
      </c>
      <c r="Z39" s="117" t="str">
        <f t="shared" si="11"/>
        <v> 7/21</v>
      </c>
      <c r="AA39" s="117" t="str">
        <f t="shared" si="12"/>
        <v>●</v>
      </c>
      <c r="AB39" s="14" t="str">
        <f aca="true" t="shared" si="13" ref="AB39:AB45">IF(T39&lt;&gt;"",O38,"")</f>
        <v>D-GUCCI</v>
      </c>
      <c r="AC39" s="117" t="str">
        <f>+Z39&amp;" "&amp;AA39&amp;" "&amp;T39&amp;"-"&amp;U39&amp;" "&amp;H38</f>
        <v> 7/21 ● 1-3 volviendo</v>
      </c>
      <c r="AD39" s="14">
        <f>+L38</f>
        <v>0</v>
      </c>
      <c r="AE39" s="14">
        <f>+L39</f>
        <v>1</v>
      </c>
      <c r="AF39" s="14">
        <f>+J38</f>
        <v>1</v>
      </c>
      <c r="AG39" s="14">
        <f>+J39</f>
        <v>2</v>
      </c>
      <c r="AH39" s="121">
        <f t="shared" si="5"/>
        <v>40379</v>
      </c>
    </row>
    <row r="40" spans="1:34" ht="15.75" customHeight="1">
      <c r="A40" s="289"/>
      <c r="B40" s="292"/>
      <c r="C40" s="311"/>
      <c r="D40" s="297">
        <v>2</v>
      </c>
      <c r="E40" s="282">
        <v>0.45138888888888895</v>
      </c>
      <c r="F40" s="312">
        <v>0.513888888888889</v>
      </c>
      <c r="G40" s="86" t="s">
        <v>15</v>
      </c>
      <c r="H40" s="316" t="str">
        <f>VLOOKUP(G40,'参加チーム'!$B$5:$G$73,IF($N$2=1,4,5),FALSE)</f>
        <v>CROSS</v>
      </c>
      <c r="I40" s="304">
        <f>IF(J40&lt;&gt;"",J40+J41,"")</f>
        <v>3</v>
      </c>
      <c r="J40" s="116">
        <v>2</v>
      </c>
      <c r="K40" s="303" t="s">
        <v>86</v>
      </c>
      <c r="L40" s="116">
        <v>0</v>
      </c>
      <c r="M40" s="304">
        <f>IF(L40&lt;&gt;"",L40+L41,"")</f>
        <v>3</v>
      </c>
      <c r="N40" s="86" t="s">
        <v>28</v>
      </c>
      <c r="O40" s="316" t="str">
        <f>VLOOKUP(N40,'参加チーム'!$B$5:$G$73,IF($N$2=1,4,5),FALSE)</f>
        <v>Sabedoria</v>
      </c>
      <c r="P40" s="325" t="str">
        <f>+O40</f>
        <v>Sabedoria</v>
      </c>
      <c r="Q40" s="323"/>
      <c r="S40" s="20" t="str">
        <f>+"前"&amp;G40&amp;N40</f>
        <v>前HＥ</v>
      </c>
      <c r="T40" s="16">
        <f>+I40</f>
        <v>3</v>
      </c>
      <c r="U40" s="16">
        <f>+M40</f>
        <v>3</v>
      </c>
      <c r="V40" s="21">
        <f>+B38</f>
        <v>40379</v>
      </c>
      <c r="X40" s="117">
        <f t="shared" si="9"/>
        <v>7</v>
      </c>
      <c r="Y40" s="117">
        <f t="shared" si="10"/>
        <v>21</v>
      </c>
      <c r="Z40" s="117" t="str">
        <f t="shared" si="11"/>
        <v> 7/21</v>
      </c>
      <c r="AA40" s="117" t="str">
        <f t="shared" si="12"/>
        <v>△</v>
      </c>
      <c r="AB40" s="14" t="str">
        <f>IF(T40&lt;&gt;"",H40,"")</f>
        <v>CROSS</v>
      </c>
      <c r="AC40" s="117" t="str">
        <f>+Z40&amp;" "&amp;AA40&amp;" "&amp;T40&amp;"-"&amp;U40&amp;" "&amp;O40</f>
        <v> 7/21 △ 3-3 Sabedoria</v>
      </c>
      <c r="AD40" s="14">
        <f>+J40</f>
        <v>2</v>
      </c>
      <c r="AE40" s="14">
        <f>+J41</f>
        <v>1</v>
      </c>
      <c r="AF40" s="14">
        <f>+L40</f>
        <v>0</v>
      </c>
      <c r="AG40" s="14">
        <f>+L41</f>
        <v>3</v>
      </c>
      <c r="AH40" s="121">
        <f t="shared" si="5"/>
        <v>40379</v>
      </c>
    </row>
    <row r="41" spans="1:34" ht="15.75" customHeight="1">
      <c r="A41" s="289"/>
      <c r="B41" s="292"/>
      <c r="C41" s="294" t="s">
        <v>121</v>
      </c>
      <c r="D41" s="309"/>
      <c r="E41" s="281"/>
      <c r="F41" s="307"/>
      <c r="G41" s="85" t="str">
        <f>LEFT(VLOOKUP(G40,'参加チーム'!$B$5:$G$73,6,FALSE),2)</f>
        <v>岩手</v>
      </c>
      <c r="H41" s="317"/>
      <c r="I41" s="281"/>
      <c r="J41" s="116">
        <v>1</v>
      </c>
      <c r="K41" s="302"/>
      <c r="L41" s="116">
        <v>3</v>
      </c>
      <c r="M41" s="281"/>
      <c r="N41" s="85" t="str">
        <f>LEFT(VLOOKUP(N40,'参加チーム'!$B$5:$G$73,6,FALSE),2)</f>
        <v>岩手</v>
      </c>
      <c r="O41" s="317"/>
      <c r="P41" s="307"/>
      <c r="Q41" s="323"/>
      <c r="S41" s="20" t="str">
        <f>+"前"&amp;N40&amp;G40</f>
        <v>前ＥH</v>
      </c>
      <c r="T41" s="16">
        <f>+M40</f>
        <v>3</v>
      </c>
      <c r="U41" s="16">
        <f>+I40</f>
        <v>3</v>
      </c>
      <c r="V41" s="21">
        <f>+B38</f>
        <v>40379</v>
      </c>
      <c r="X41" s="117">
        <f t="shared" si="9"/>
        <v>7</v>
      </c>
      <c r="Y41" s="117">
        <f t="shared" si="10"/>
        <v>21</v>
      </c>
      <c r="Z41" s="117" t="str">
        <f t="shared" si="11"/>
        <v> 7/21</v>
      </c>
      <c r="AA41" s="117" t="str">
        <f t="shared" si="12"/>
        <v>△</v>
      </c>
      <c r="AB41" s="14" t="str">
        <f t="shared" si="13"/>
        <v>Sabedoria</v>
      </c>
      <c r="AC41" s="117" t="str">
        <f>+Z41&amp;" "&amp;AA41&amp;" "&amp;T41&amp;"-"&amp;U41&amp;" "&amp;H40</f>
        <v> 7/21 △ 3-3 CROSS</v>
      </c>
      <c r="AD41" s="14">
        <f>+L40</f>
        <v>0</v>
      </c>
      <c r="AE41" s="14">
        <f>+L41</f>
        <v>3</v>
      </c>
      <c r="AF41" s="14">
        <f>+J40</f>
        <v>2</v>
      </c>
      <c r="AG41" s="14">
        <f>+J41</f>
        <v>1</v>
      </c>
      <c r="AH41" s="121">
        <f t="shared" si="5"/>
        <v>40379</v>
      </c>
    </row>
    <row r="42" spans="1:34" ht="15.75" customHeight="1">
      <c r="A42" s="289"/>
      <c r="B42" s="292"/>
      <c r="C42" s="295"/>
      <c r="D42" s="304">
        <v>3</v>
      </c>
      <c r="E42" s="283">
        <v>0.5277777777777778</v>
      </c>
      <c r="F42" s="312">
        <v>0.5902777777777778</v>
      </c>
      <c r="G42" s="86" t="s">
        <v>31</v>
      </c>
      <c r="H42" s="316" t="str">
        <f>VLOOKUP(G42,'参加チーム'!$B$5:$G$73,IF($N$2=1,4,5),FALSE)</f>
        <v>BANFF</v>
      </c>
      <c r="I42" s="304">
        <f>IF(J42&lt;&gt;"",J42+J43,"")</f>
        <v>2</v>
      </c>
      <c r="J42" s="116">
        <v>1</v>
      </c>
      <c r="K42" s="303" t="s">
        <v>86</v>
      </c>
      <c r="L42" s="116">
        <v>0</v>
      </c>
      <c r="M42" s="304">
        <f>IF(L42&lt;&gt;"",L42+L43,"")</f>
        <v>0</v>
      </c>
      <c r="N42" s="86" t="s">
        <v>243</v>
      </c>
      <c r="O42" s="316" t="str">
        <f>VLOOKUP(N42,'参加チーム'!$B$5:$G$73,IF($N$2=1,4,5),FALSE)</f>
        <v>かちかち山</v>
      </c>
      <c r="P42" s="325" t="str">
        <f>+O42</f>
        <v>かちかち山</v>
      </c>
      <c r="Q42" s="323"/>
      <c r="S42" s="20" t="str">
        <f>+"前"&amp;G42&amp;N42</f>
        <v>前ＡＣ</v>
      </c>
      <c r="T42" s="16">
        <f>+I42</f>
        <v>2</v>
      </c>
      <c r="U42" s="16">
        <f>+M42</f>
        <v>0</v>
      </c>
      <c r="V42" s="21">
        <f>+B38</f>
        <v>40379</v>
      </c>
      <c r="X42" s="117">
        <f t="shared" si="9"/>
        <v>7</v>
      </c>
      <c r="Y42" s="117">
        <f t="shared" si="10"/>
        <v>21</v>
      </c>
      <c r="Z42" s="117" t="str">
        <f t="shared" si="11"/>
        <v> 7/21</v>
      </c>
      <c r="AA42" s="117" t="str">
        <f t="shared" si="12"/>
        <v>○</v>
      </c>
      <c r="AB42" s="14" t="str">
        <f>IF(T42&lt;&gt;"",H42,"")</f>
        <v>BANFF</v>
      </c>
      <c r="AC42" s="117" t="str">
        <f>+Z42&amp;" "&amp;AA42&amp;" "&amp;T42&amp;"-"&amp;U42&amp;" "&amp;O42</f>
        <v> 7/21 ○ 2-0 かちかち山</v>
      </c>
      <c r="AD42" s="14">
        <f>+J42</f>
        <v>1</v>
      </c>
      <c r="AE42" s="14">
        <f>+J43</f>
        <v>1</v>
      </c>
      <c r="AF42" s="14">
        <f>+L42</f>
        <v>0</v>
      </c>
      <c r="AG42" s="14">
        <f>+L43</f>
        <v>0</v>
      </c>
      <c r="AH42" s="121">
        <f t="shared" si="5"/>
        <v>40379</v>
      </c>
    </row>
    <row r="43" spans="1:34" ht="15.75" customHeight="1">
      <c r="A43" s="289"/>
      <c r="B43" s="292"/>
      <c r="C43" s="295"/>
      <c r="D43" s="281"/>
      <c r="E43" s="284"/>
      <c r="F43" s="307"/>
      <c r="G43" s="85" t="str">
        <f>LEFT(VLOOKUP(G42,'参加チーム'!$B$5:$G$73,6,FALSE),2)</f>
        <v>宮城</v>
      </c>
      <c r="H43" s="317"/>
      <c r="I43" s="281"/>
      <c r="J43" s="116">
        <v>1</v>
      </c>
      <c r="K43" s="302"/>
      <c r="L43" s="116">
        <v>0</v>
      </c>
      <c r="M43" s="281"/>
      <c r="N43" s="85" t="str">
        <f>LEFT(VLOOKUP(N42,'参加チーム'!$B$5:$G$73,6,FALSE),2)</f>
        <v>福島</v>
      </c>
      <c r="O43" s="317"/>
      <c r="P43" s="307"/>
      <c r="Q43" s="323"/>
      <c r="S43" s="20" t="str">
        <f>+"前"&amp;N42&amp;G42</f>
        <v>前ＣＡ</v>
      </c>
      <c r="T43" s="16">
        <f>+M42</f>
        <v>0</v>
      </c>
      <c r="U43" s="16">
        <f>+I42</f>
        <v>2</v>
      </c>
      <c r="V43" s="21">
        <f>+B38</f>
        <v>40379</v>
      </c>
      <c r="X43" s="117">
        <f t="shared" si="9"/>
        <v>7</v>
      </c>
      <c r="Y43" s="117">
        <f t="shared" si="10"/>
        <v>21</v>
      </c>
      <c r="Z43" s="117" t="str">
        <f t="shared" si="11"/>
        <v> 7/21</v>
      </c>
      <c r="AA43" s="117" t="str">
        <f t="shared" si="12"/>
        <v>●</v>
      </c>
      <c r="AB43" s="14" t="str">
        <f t="shared" si="13"/>
        <v>かちかち山</v>
      </c>
      <c r="AC43" s="117" t="str">
        <f>+Z43&amp;" "&amp;AA43&amp;" "&amp;T43&amp;"-"&amp;U43&amp;" "&amp;H42</f>
        <v> 7/21 ● 0-2 BANFF</v>
      </c>
      <c r="AD43" s="14">
        <f>+L42</f>
        <v>0</v>
      </c>
      <c r="AE43" s="14">
        <f>+L43</f>
        <v>0</v>
      </c>
      <c r="AF43" s="14">
        <f>+J42</f>
        <v>1</v>
      </c>
      <c r="AG43" s="14">
        <f>+J43</f>
        <v>1</v>
      </c>
      <c r="AH43" s="121">
        <f t="shared" si="5"/>
        <v>40379</v>
      </c>
    </row>
    <row r="44" spans="1:34" ht="15.75" customHeight="1">
      <c r="A44" s="289"/>
      <c r="B44" s="292"/>
      <c r="C44" s="295"/>
      <c r="D44" s="297">
        <v>4</v>
      </c>
      <c r="E44" s="283">
        <v>0.6041666666666666</v>
      </c>
      <c r="F44" s="312">
        <v>0.6666666666666666</v>
      </c>
      <c r="G44" s="86" t="s">
        <v>23</v>
      </c>
      <c r="H44" s="319" t="str">
        <f>VLOOKUP(G44,'参加チーム'!$B$5:$G$73,IF($N$2=1,4,5),FALSE)</f>
        <v>ヴォスクオーレ</v>
      </c>
      <c r="I44" s="304">
        <f>IF(J44&lt;&gt;"",J44+J45,"")</f>
        <v>5</v>
      </c>
      <c r="J44" s="116">
        <v>2</v>
      </c>
      <c r="K44" s="303" t="s">
        <v>86</v>
      </c>
      <c r="L44" s="116">
        <v>1</v>
      </c>
      <c r="M44" s="304">
        <f>IF(L44&lt;&gt;"",L44+L45,"")</f>
        <v>2</v>
      </c>
      <c r="N44" s="86" t="s">
        <v>27</v>
      </c>
      <c r="O44" s="319" t="str">
        <f>VLOOKUP(N44,'参加チーム'!$B$5:$G$73,IF($N$2=1,4,5),FALSE)</f>
        <v>malva</v>
      </c>
      <c r="P44" s="325" t="str">
        <f>+O44</f>
        <v>malva</v>
      </c>
      <c r="Q44" s="323"/>
      <c r="S44" s="20" t="str">
        <f>+"前"&amp;G44&amp;N44</f>
        <v>前ＢＤ</v>
      </c>
      <c r="T44" s="16">
        <f>+I44</f>
        <v>5</v>
      </c>
      <c r="U44" s="16">
        <f>+M44</f>
        <v>2</v>
      </c>
      <c r="V44" s="21">
        <f>+B38</f>
        <v>40379</v>
      </c>
      <c r="X44" s="117">
        <f t="shared" si="9"/>
        <v>7</v>
      </c>
      <c r="Y44" s="117">
        <f t="shared" si="10"/>
        <v>21</v>
      </c>
      <c r="Z44" s="117" t="str">
        <f t="shared" si="11"/>
        <v> 7/21</v>
      </c>
      <c r="AA44" s="117" t="str">
        <f t="shared" si="12"/>
        <v>○</v>
      </c>
      <c r="AB44" s="14" t="str">
        <f>IF(T44&lt;&gt;"",H44,"")</f>
        <v>ヴォスクオーレ</v>
      </c>
      <c r="AC44" s="117" t="str">
        <f>+Z44&amp;" "&amp;AA44&amp;" "&amp;T44&amp;"-"&amp;U44&amp;" "&amp;O44</f>
        <v> 7/21 ○ 5-2 malva</v>
      </c>
      <c r="AD44" s="14">
        <f>+J44</f>
        <v>2</v>
      </c>
      <c r="AE44" s="14">
        <f>+J45</f>
        <v>3</v>
      </c>
      <c r="AF44" s="14">
        <f>+L44</f>
        <v>1</v>
      </c>
      <c r="AG44" s="14">
        <f>+L45</f>
        <v>1</v>
      </c>
      <c r="AH44" s="121">
        <f t="shared" si="5"/>
        <v>40379</v>
      </c>
    </row>
    <row r="45" spans="1:34" ht="15.75" customHeight="1" thickBot="1">
      <c r="A45" s="290"/>
      <c r="B45" s="293"/>
      <c r="C45" s="296"/>
      <c r="D45" s="298"/>
      <c r="E45" s="285"/>
      <c r="F45" s="315"/>
      <c r="G45" s="85" t="str">
        <f>LEFT(VLOOKUP(G44,'参加チーム'!$B$5:$G$73,6,FALSE),2)</f>
        <v>宮城</v>
      </c>
      <c r="H45" s="320"/>
      <c r="I45" s="305"/>
      <c r="J45" s="125">
        <v>3</v>
      </c>
      <c r="K45" s="321"/>
      <c r="L45" s="125">
        <v>1</v>
      </c>
      <c r="M45" s="305"/>
      <c r="N45" s="85" t="str">
        <f>LEFT(VLOOKUP(N44,'参加チーム'!$B$5:$G$73,6,FALSE),2)</f>
        <v>山形</v>
      </c>
      <c r="O45" s="320"/>
      <c r="P45" s="315"/>
      <c r="Q45" s="324"/>
      <c r="S45" s="22" t="str">
        <f>+"前"&amp;N44&amp;G44</f>
        <v>前ＤＢ</v>
      </c>
      <c r="T45" s="23">
        <f>+M44</f>
        <v>2</v>
      </c>
      <c r="U45" s="23">
        <f>+I44</f>
        <v>5</v>
      </c>
      <c r="V45" s="24">
        <f>+B38</f>
        <v>40379</v>
      </c>
      <c r="X45" s="117">
        <f t="shared" si="9"/>
        <v>7</v>
      </c>
      <c r="Y45" s="117">
        <f t="shared" si="10"/>
        <v>21</v>
      </c>
      <c r="Z45" s="117" t="str">
        <f t="shared" si="11"/>
        <v> 7/21</v>
      </c>
      <c r="AA45" s="117" t="str">
        <f t="shared" si="12"/>
        <v>●</v>
      </c>
      <c r="AB45" s="14" t="str">
        <f t="shared" si="13"/>
        <v>malva</v>
      </c>
      <c r="AC45" s="117" t="str">
        <f>+Z45&amp;" "&amp;AA45&amp;" "&amp;T45&amp;"-"&amp;U45&amp;" "&amp;H44</f>
        <v> 7/21 ● 2-5 ヴォスクオーレ</v>
      </c>
      <c r="AD45" s="14">
        <f>+L44</f>
        <v>1</v>
      </c>
      <c r="AE45" s="14">
        <f>+L45</f>
        <v>1</v>
      </c>
      <c r="AF45" s="14">
        <f>+J44</f>
        <v>2</v>
      </c>
      <c r="AG45" s="14">
        <f>+J45</f>
        <v>3</v>
      </c>
      <c r="AH45" s="121">
        <f t="shared" si="5"/>
        <v>40379</v>
      </c>
    </row>
    <row r="46" spans="1:34" ht="15.75" customHeight="1">
      <c r="A46" s="288">
        <v>6</v>
      </c>
      <c r="B46" s="291">
        <v>40392</v>
      </c>
      <c r="C46" s="314" t="s">
        <v>59</v>
      </c>
      <c r="D46" s="308">
        <v>1</v>
      </c>
      <c r="E46" s="280">
        <v>0.3958333333333333</v>
      </c>
      <c r="F46" s="306">
        <v>0.4375</v>
      </c>
      <c r="G46" s="84" t="s">
        <v>26</v>
      </c>
      <c r="H46" s="318" t="str">
        <f>VLOOKUP(G46,'参加チーム'!$B$5:$G$73,IF($N$2=1,4,5),FALSE)</f>
        <v>malva</v>
      </c>
      <c r="I46" s="300">
        <f>IF(J46&lt;&gt;"",J46+J47,"")</f>
        <v>4</v>
      </c>
      <c r="J46" s="123">
        <v>2</v>
      </c>
      <c r="K46" s="301" t="s">
        <v>86</v>
      </c>
      <c r="L46" s="123">
        <v>2</v>
      </c>
      <c r="M46" s="300">
        <f>IF(L46&lt;&gt;"",L46+L47,"")</f>
        <v>5</v>
      </c>
      <c r="N46" s="84" t="s">
        <v>248</v>
      </c>
      <c r="O46" s="318" t="str">
        <f>VLOOKUP(N46,'参加チーム'!$B$5:$G$73,IF($N$2=1,4,5),FALSE)</f>
        <v>BANFF</v>
      </c>
      <c r="P46" s="326" t="str">
        <f>+O46</f>
        <v>BANFF</v>
      </c>
      <c r="Q46" s="322" t="str">
        <f>+H46</f>
        <v>malva</v>
      </c>
      <c r="S46" s="17" t="str">
        <f>+"前"&amp;G46&amp;N46</f>
        <v>前ＤＡ</v>
      </c>
      <c r="T46" s="18">
        <f>IF(I46&lt;&gt;"",I46,"")</f>
        <v>4</v>
      </c>
      <c r="U46" s="18">
        <f>IF(M46&lt;&gt;"",M46,"")</f>
        <v>5</v>
      </c>
      <c r="V46" s="19">
        <f>+B46</f>
        <v>40392</v>
      </c>
      <c r="X46" s="117">
        <f t="shared" si="9"/>
        <v>8</v>
      </c>
      <c r="Y46" s="117">
        <f t="shared" si="10"/>
        <v>3</v>
      </c>
      <c r="Z46" s="117" t="str">
        <f t="shared" si="11"/>
        <v> 8/ 3</v>
      </c>
      <c r="AA46" s="117" t="str">
        <f t="shared" si="12"/>
        <v>●</v>
      </c>
      <c r="AB46" s="14" t="str">
        <f>IF(T46&lt;&gt;"",H46,"")</f>
        <v>malva</v>
      </c>
      <c r="AC46" s="117" t="str">
        <f>+Z46&amp;" "&amp;AA46&amp;" "&amp;T46&amp;"-"&amp;U46&amp;" "&amp;O46</f>
        <v> 8/ 3 ● 4-5 BANFF</v>
      </c>
      <c r="AD46" s="14">
        <f>+J46</f>
        <v>2</v>
      </c>
      <c r="AE46" s="14">
        <f>+J47</f>
        <v>2</v>
      </c>
      <c r="AF46" s="14">
        <f>+L46</f>
        <v>2</v>
      </c>
      <c r="AG46" s="14">
        <f>+L47</f>
        <v>3</v>
      </c>
      <c r="AH46" s="121">
        <f t="shared" si="5"/>
        <v>40392</v>
      </c>
    </row>
    <row r="47" spans="1:34" ht="15.75" customHeight="1">
      <c r="A47" s="289"/>
      <c r="B47" s="292"/>
      <c r="C47" s="311"/>
      <c r="D47" s="309"/>
      <c r="E47" s="281"/>
      <c r="F47" s="307"/>
      <c r="G47" s="85" t="str">
        <f>LEFT(VLOOKUP(G46,'参加チーム'!$B$5:$G$73,6,FALSE),2)</f>
        <v>山形</v>
      </c>
      <c r="H47" s="317"/>
      <c r="I47" s="281"/>
      <c r="J47" s="116">
        <v>2</v>
      </c>
      <c r="K47" s="302"/>
      <c r="L47" s="116">
        <v>3</v>
      </c>
      <c r="M47" s="281"/>
      <c r="N47" s="85" t="str">
        <f>LEFT(VLOOKUP(N46,'参加チーム'!$B$5:$G$73,6,FALSE),2)</f>
        <v>宮城</v>
      </c>
      <c r="O47" s="317"/>
      <c r="P47" s="307"/>
      <c r="Q47" s="323"/>
      <c r="S47" s="20" t="str">
        <f>+"前"&amp;N46&amp;G46</f>
        <v>前ＡＤ</v>
      </c>
      <c r="T47" s="16">
        <f>IF(M46&lt;&gt;"",M46,"")</f>
        <v>5</v>
      </c>
      <c r="U47" s="16">
        <f>IF(I46&lt;&gt;"",I46,"")</f>
        <v>4</v>
      </c>
      <c r="V47" s="21">
        <f>+B46</f>
        <v>40392</v>
      </c>
      <c r="X47" s="117">
        <f t="shared" si="9"/>
        <v>8</v>
      </c>
      <c r="Y47" s="117">
        <f t="shared" si="10"/>
        <v>3</v>
      </c>
      <c r="Z47" s="117" t="str">
        <f t="shared" si="11"/>
        <v> 8/ 3</v>
      </c>
      <c r="AA47" s="117" t="str">
        <f t="shared" si="12"/>
        <v>○</v>
      </c>
      <c r="AB47" s="14" t="str">
        <f aca="true" t="shared" si="14" ref="AB47:AB53">IF(T47&lt;&gt;"",O46,"")</f>
        <v>BANFF</v>
      </c>
      <c r="AC47" s="117" t="str">
        <f>+Z47&amp;" "&amp;AA47&amp;" "&amp;T47&amp;"-"&amp;U47&amp;" "&amp;H46</f>
        <v> 8/ 3 ○ 5-4 malva</v>
      </c>
      <c r="AD47" s="14">
        <f>+L46</f>
        <v>2</v>
      </c>
      <c r="AE47" s="14">
        <f>+L47</f>
        <v>3</v>
      </c>
      <c r="AF47" s="14">
        <f>+J46</f>
        <v>2</v>
      </c>
      <c r="AG47" s="14">
        <f>+J47</f>
        <v>2</v>
      </c>
      <c r="AH47" s="121">
        <f t="shared" si="5"/>
        <v>40392</v>
      </c>
    </row>
    <row r="48" spans="1:34" ht="15.75" customHeight="1">
      <c r="A48" s="289"/>
      <c r="B48" s="292"/>
      <c r="C48" s="311"/>
      <c r="D48" s="297">
        <v>2</v>
      </c>
      <c r="E48" s="282">
        <v>0.45138888888888895</v>
      </c>
      <c r="F48" s="312">
        <v>0.513888888888889</v>
      </c>
      <c r="G48" s="86" t="s">
        <v>25</v>
      </c>
      <c r="H48" s="316" t="str">
        <f>VLOOKUP(G48,'参加チーム'!$B$5:$G$73,IF($N$2=1,4,5),FALSE)</f>
        <v>かちかち山</v>
      </c>
      <c r="I48" s="304">
        <f>IF(J48&lt;&gt;"",J48+J49,"")</f>
        <v>2</v>
      </c>
      <c r="J48" s="116">
        <v>2</v>
      </c>
      <c r="K48" s="303" t="s">
        <v>86</v>
      </c>
      <c r="L48" s="116">
        <v>1</v>
      </c>
      <c r="M48" s="304">
        <f>IF(L48&lt;&gt;"",L48+L49,"")</f>
        <v>2</v>
      </c>
      <c r="N48" s="86" t="s">
        <v>23</v>
      </c>
      <c r="O48" s="316" t="str">
        <f>VLOOKUP(N48,'参加チーム'!$B$5:$G$73,IF($N$2=1,4,5),FALSE)</f>
        <v>ヴォスクオーレ</v>
      </c>
      <c r="P48" s="325" t="str">
        <f>+O48</f>
        <v>ヴォスクオーレ</v>
      </c>
      <c r="Q48" s="323"/>
      <c r="S48" s="20" t="str">
        <f>+"前"&amp;G48&amp;N48</f>
        <v>前ＣＢ</v>
      </c>
      <c r="T48" s="16">
        <f>+I48</f>
        <v>2</v>
      </c>
      <c r="U48" s="16">
        <f>+M48</f>
        <v>2</v>
      </c>
      <c r="V48" s="21">
        <f>+B46</f>
        <v>40392</v>
      </c>
      <c r="X48" s="117">
        <f t="shared" si="9"/>
        <v>8</v>
      </c>
      <c r="Y48" s="117">
        <f t="shared" si="10"/>
        <v>3</v>
      </c>
      <c r="Z48" s="117" t="str">
        <f t="shared" si="11"/>
        <v> 8/ 3</v>
      </c>
      <c r="AA48" s="117" t="str">
        <f t="shared" si="12"/>
        <v>△</v>
      </c>
      <c r="AB48" s="14" t="str">
        <f>IF(T48&lt;&gt;"",H48,"")</f>
        <v>かちかち山</v>
      </c>
      <c r="AC48" s="117" t="str">
        <f>+Z48&amp;" "&amp;AA48&amp;" "&amp;T48&amp;"-"&amp;U48&amp;" "&amp;O48</f>
        <v> 8/ 3 △ 2-2 ヴォスクオーレ</v>
      </c>
      <c r="AD48" s="14">
        <f>+J48</f>
        <v>2</v>
      </c>
      <c r="AE48" s="14">
        <f>+J49</f>
        <v>0</v>
      </c>
      <c r="AF48" s="14">
        <f>+L48</f>
        <v>1</v>
      </c>
      <c r="AG48" s="14">
        <f>+L49</f>
        <v>1</v>
      </c>
      <c r="AH48" s="121">
        <f t="shared" si="5"/>
        <v>40392</v>
      </c>
    </row>
    <row r="49" spans="1:34" ht="15.75" customHeight="1">
      <c r="A49" s="289"/>
      <c r="B49" s="292"/>
      <c r="C49" s="294" t="s">
        <v>231</v>
      </c>
      <c r="D49" s="309"/>
      <c r="E49" s="281"/>
      <c r="F49" s="307"/>
      <c r="G49" s="85" t="str">
        <f>LEFT(VLOOKUP(G48,'参加チーム'!$B$5:$G$73,6,FALSE),2)</f>
        <v>福島</v>
      </c>
      <c r="H49" s="317"/>
      <c r="I49" s="281"/>
      <c r="J49" s="116">
        <v>0</v>
      </c>
      <c r="K49" s="302"/>
      <c r="L49" s="116">
        <v>1</v>
      </c>
      <c r="M49" s="281"/>
      <c r="N49" s="85" t="str">
        <f>LEFT(VLOOKUP(N48,'参加チーム'!$B$5:$G$73,6,FALSE),2)</f>
        <v>宮城</v>
      </c>
      <c r="O49" s="317"/>
      <c r="P49" s="307"/>
      <c r="Q49" s="323"/>
      <c r="S49" s="20" t="str">
        <f>+"前"&amp;N48&amp;G48</f>
        <v>前ＢＣ</v>
      </c>
      <c r="T49" s="16">
        <f>+M48</f>
        <v>2</v>
      </c>
      <c r="U49" s="16">
        <f>+I48</f>
        <v>2</v>
      </c>
      <c r="V49" s="21">
        <f>+B46</f>
        <v>40392</v>
      </c>
      <c r="X49" s="117">
        <f t="shared" si="9"/>
        <v>8</v>
      </c>
      <c r="Y49" s="117">
        <f t="shared" si="10"/>
        <v>3</v>
      </c>
      <c r="Z49" s="117" t="str">
        <f t="shared" si="11"/>
        <v> 8/ 3</v>
      </c>
      <c r="AA49" s="117" t="str">
        <f t="shared" si="12"/>
        <v>△</v>
      </c>
      <c r="AB49" s="14" t="str">
        <f t="shared" si="14"/>
        <v>ヴォスクオーレ</v>
      </c>
      <c r="AC49" s="117" t="str">
        <f>+Z49&amp;" "&amp;AA49&amp;" "&amp;T49&amp;"-"&amp;U49&amp;" "&amp;H48</f>
        <v> 8/ 3 △ 2-2 かちかち山</v>
      </c>
      <c r="AD49" s="14">
        <f>+L48</f>
        <v>1</v>
      </c>
      <c r="AE49" s="14">
        <f>+L49</f>
        <v>1</v>
      </c>
      <c r="AF49" s="14">
        <f>+J48</f>
        <v>2</v>
      </c>
      <c r="AG49" s="14">
        <f>+J49</f>
        <v>0</v>
      </c>
      <c r="AH49" s="121">
        <f t="shared" si="5"/>
        <v>40392</v>
      </c>
    </row>
    <row r="50" spans="1:34" ht="15.75" customHeight="1">
      <c r="A50" s="289"/>
      <c r="B50" s="292"/>
      <c r="C50" s="295"/>
      <c r="D50" s="304">
        <v>3</v>
      </c>
      <c r="E50" s="283">
        <v>0.5277777777777778</v>
      </c>
      <c r="F50" s="312">
        <v>0.5902777777777778</v>
      </c>
      <c r="G50" s="86" t="s">
        <v>15</v>
      </c>
      <c r="H50" s="316" t="str">
        <f>VLOOKUP(G50,'参加チーム'!$B$5:$G$73,IF($N$2=1,4,5),FALSE)</f>
        <v>CROSS</v>
      </c>
      <c r="I50" s="304">
        <f>IF(J50&lt;&gt;"",J50+J51,"")</f>
        <v>3</v>
      </c>
      <c r="J50" s="116">
        <v>0</v>
      </c>
      <c r="K50" s="303" t="s">
        <v>86</v>
      </c>
      <c r="L50" s="116">
        <v>3</v>
      </c>
      <c r="M50" s="304">
        <f>IF(L50&lt;&gt;"",L50+L51,"")</f>
        <v>7</v>
      </c>
      <c r="N50" s="86" t="s">
        <v>30</v>
      </c>
      <c r="O50" s="316" t="str">
        <f>VLOOKUP(N50,'参加チーム'!$B$5:$G$73,IF($N$2=1,4,5),FALSE)</f>
        <v>volviendo</v>
      </c>
      <c r="P50" s="325" t="str">
        <f>+O50</f>
        <v>volviendo</v>
      </c>
      <c r="Q50" s="323"/>
      <c r="S50" s="20" t="str">
        <f>+"前"&amp;G50&amp;N50</f>
        <v>前HＦ</v>
      </c>
      <c r="T50" s="16">
        <f>+I50</f>
        <v>3</v>
      </c>
      <c r="U50" s="16">
        <f>+M50</f>
        <v>7</v>
      </c>
      <c r="V50" s="21">
        <f>+B46</f>
        <v>40392</v>
      </c>
      <c r="X50" s="117">
        <f t="shared" si="9"/>
        <v>8</v>
      </c>
      <c r="Y50" s="117">
        <f t="shared" si="10"/>
        <v>3</v>
      </c>
      <c r="Z50" s="117" t="str">
        <f t="shared" si="11"/>
        <v> 8/ 3</v>
      </c>
      <c r="AA50" s="117" t="str">
        <f t="shared" si="12"/>
        <v>●</v>
      </c>
      <c r="AB50" s="14" t="str">
        <f>IF(T50&lt;&gt;"",H50,"")</f>
        <v>CROSS</v>
      </c>
      <c r="AC50" s="117" t="str">
        <f>+Z50&amp;" "&amp;AA50&amp;" "&amp;T50&amp;"-"&amp;U50&amp;" "&amp;O50</f>
        <v> 8/ 3 ● 3-7 volviendo</v>
      </c>
      <c r="AD50" s="14">
        <f>+J50</f>
        <v>0</v>
      </c>
      <c r="AE50" s="14">
        <f>+J51</f>
        <v>3</v>
      </c>
      <c r="AF50" s="14">
        <f>+L50</f>
        <v>3</v>
      </c>
      <c r="AG50" s="14">
        <f>+L51</f>
        <v>4</v>
      </c>
      <c r="AH50" s="121">
        <f t="shared" si="5"/>
        <v>40392</v>
      </c>
    </row>
    <row r="51" spans="1:34" ht="15.75" customHeight="1">
      <c r="A51" s="289"/>
      <c r="B51" s="292"/>
      <c r="C51" s="295"/>
      <c r="D51" s="281"/>
      <c r="E51" s="284"/>
      <c r="F51" s="307"/>
      <c r="G51" s="85" t="str">
        <f>LEFT(VLOOKUP(G50,'参加チーム'!$B$5:$G$73,6,FALSE),2)</f>
        <v>岩手</v>
      </c>
      <c r="H51" s="317"/>
      <c r="I51" s="281"/>
      <c r="J51" s="116">
        <v>3</v>
      </c>
      <c r="K51" s="302"/>
      <c r="L51" s="116">
        <v>4</v>
      </c>
      <c r="M51" s="281"/>
      <c r="N51" s="85" t="str">
        <f>LEFT(VLOOKUP(N50,'参加チーム'!$B$5:$G$73,6,FALSE),2)</f>
        <v>福島</v>
      </c>
      <c r="O51" s="317"/>
      <c r="P51" s="307"/>
      <c r="Q51" s="323"/>
      <c r="S51" s="20" t="str">
        <f>+"前"&amp;N50&amp;G50</f>
        <v>前ＦH</v>
      </c>
      <c r="T51" s="16">
        <f>+M50</f>
        <v>7</v>
      </c>
      <c r="U51" s="16">
        <f>+I50</f>
        <v>3</v>
      </c>
      <c r="V51" s="21">
        <f>+B46</f>
        <v>40392</v>
      </c>
      <c r="X51" s="117">
        <f t="shared" si="9"/>
        <v>8</v>
      </c>
      <c r="Y51" s="117">
        <f t="shared" si="10"/>
        <v>3</v>
      </c>
      <c r="Z51" s="117" t="str">
        <f t="shared" si="11"/>
        <v> 8/ 3</v>
      </c>
      <c r="AA51" s="117" t="str">
        <f t="shared" si="12"/>
        <v>○</v>
      </c>
      <c r="AB51" s="14" t="str">
        <f t="shared" si="14"/>
        <v>volviendo</v>
      </c>
      <c r="AC51" s="117" t="str">
        <f>+Z51&amp;" "&amp;AA51&amp;" "&amp;T51&amp;"-"&amp;U51&amp;" "&amp;H50</f>
        <v> 8/ 3 ○ 7-3 CROSS</v>
      </c>
      <c r="AD51" s="14">
        <f>+L50</f>
        <v>3</v>
      </c>
      <c r="AE51" s="14">
        <f>+L51</f>
        <v>4</v>
      </c>
      <c r="AF51" s="14">
        <f>+J50</f>
        <v>0</v>
      </c>
      <c r="AG51" s="14">
        <f>+J51</f>
        <v>3</v>
      </c>
      <c r="AH51" s="121">
        <f t="shared" si="5"/>
        <v>40392</v>
      </c>
    </row>
    <row r="52" spans="1:34" ht="15.75" customHeight="1">
      <c r="A52" s="289"/>
      <c r="B52" s="292"/>
      <c r="C52" s="295"/>
      <c r="D52" s="297">
        <v>4</v>
      </c>
      <c r="E52" s="283">
        <v>0.6041666666666666</v>
      </c>
      <c r="F52" s="312">
        <v>0.6666666666666666</v>
      </c>
      <c r="G52" s="86" t="s">
        <v>28</v>
      </c>
      <c r="H52" s="319" t="str">
        <f>VLOOKUP(G52,'参加チーム'!$B$5:$G$73,IF($N$2=1,4,5),FALSE)</f>
        <v>Sabedoria</v>
      </c>
      <c r="I52" s="304">
        <f>IF(J52&lt;&gt;"",J52+J53,"")</f>
        <v>3</v>
      </c>
      <c r="J52" s="116">
        <v>1</v>
      </c>
      <c r="K52" s="303" t="s">
        <v>86</v>
      </c>
      <c r="L52" s="116">
        <v>5</v>
      </c>
      <c r="M52" s="304">
        <f>IF(L52&lt;&gt;"",L52+L53,"")</f>
        <v>6</v>
      </c>
      <c r="N52" s="86" t="s">
        <v>112</v>
      </c>
      <c r="O52" s="319" t="str">
        <f>VLOOKUP(N52,'参加チーム'!$B$5:$G$73,IF($N$2=1,4,5),FALSE)</f>
        <v>D-GUCCI</v>
      </c>
      <c r="P52" s="325" t="str">
        <f>+O52</f>
        <v>D-GUCCI</v>
      </c>
      <c r="Q52" s="323"/>
      <c r="S52" s="20" t="str">
        <f>+"前"&amp;G52&amp;N52</f>
        <v>前ＥG</v>
      </c>
      <c r="T52" s="16">
        <f>+I52</f>
        <v>3</v>
      </c>
      <c r="U52" s="16">
        <f>+M52</f>
        <v>6</v>
      </c>
      <c r="V52" s="21">
        <f>+B46</f>
        <v>40392</v>
      </c>
      <c r="X52" s="117">
        <f t="shared" si="9"/>
        <v>8</v>
      </c>
      <c r="Y52" s="117">
        <f t="shared" si="10"/>
        <v>3</v>
      </c>
      <c r="Z52" s="117" t="str">
        <f t="shared" si="11"/>
        <v> 8/ 3</v>
      </c>
      <c r="AA52" s="117" t="str">
        <f t="shared" si="12"/>
        <v>●</v>
      </c>
      <c r="AB52" s="14" t="str">
        <f>IF(T52&lt;&gt;"",H52,"")</f>
        <v>Sabedoria</v>
      </c>
      <c r="AC52" s="117" t="str">
        <f>+Z52&amp;" "&amp;AA52&amp;" "&amp;T52&amp;"-"&amp;U52&amp;" "&amp;O52</f>
        <v> 8/ 3 ● 3-6 D-GUCCI</v>
      </c>
      <c r="AD52" s="14">
        <f>+J52</f>
        <v>1</v>
      </c>
      <c r="AE52" s="14">
        <f>+J53</f>
        <v>2</v>
      </c>
      <c r="AF52" s="14">
        <f>+L52</f>
        <v>5</v>
      </c>
      <c r="AG52" s="14">
        <f>+L53</f>
        <v>1</v>
      </c>
      <c r="AH52" s="121">
        <f t="shared" si="5"/>
        <v>40392</v>
      </c>
    </row>
    <row r="53" spans="1:34" ht="15.75" customHeight="1" thickBot="1">
      <c r="A53" s="290"/>
      <c r="B53" s="293"/>
      <c r="C53" s="296"/>
      <c r="D53" s="298"/>
      <c r="E53" s="285"/>
      <c r="F53" s="315"/>
      <c r="G53" s="85" t="str">
        <f>LEFT(VLOOKUP(G52,'参加チーム'!$B$5:$G$73,6,FALSE),2)</f>
        <v>岩手</v>
      </c>
      <c r="H53" s="320"/>
      <c r="I53" s="305"/>
      <c r="J53" s="125">
        <v>2</v>
      </c>
      <c r="K53" s="321"/>
      <c r="L53" s="125">
        <v>1</v>
      </c>
      <c r="M53" s="305"/>
      <c r="N53" s="85" t="str">
        <f>LEFT(VLOOKUP(N52,'参加チーム'!$B$5:$G$73,6,FALSE),2)</f>
        <v>宮城</v>
      </c>
      <c r="O53" s="320"/>
      <c r="P53" s="315"/>
      <c r="Q53" s="324"/>
      <c r="S53" s="22" t="str">
        <f>+"前"&amp;N52&amp;G52</f>
        <v>前GＥ</v>
      </c>
      <c r="T53" s="23">
        <f>+M52</f>
        <v>6</v>
      </c>
      <c r="U53" s="23">
        <f>+I52</f>
        <v>3</v>
      </c>
      <c r="V53" s="24">
        <f>+B46</f>
        <v>40392</v>
      </c>
      <c r="X53" s="117">
        <f t="shared" si="9"/>
        <v>8</v>
      </c>
      <c r="Y53" s="117">
        <f t="shared" si="10"/>
        <v>3</v>
      </c>
      <c r="Z53" s="117" t="str">
        <f t="shared" si="11"/>
        <v> 8/ 3</v>
      </c>
      <c r="AA53" s="117" t="str">
        <f t="shared" si="12"/>
        <v>○</v>
      </c>
      <c r="AB53" s="14" t="str">
        <f t="shared" si="14"/>
        <v>D-GUCCI</v>
      </c>
      <c r="AC53" s="117" t="str">
        <f>+Z53&amp;" "&amp;AA53&amp;" "&amp;T53&amp;"-"&amp;U53&amp;" "&amp;H52</f>
        <v> 8/ 3 ○ 6-3 Sabedoria</v>
      </c>
      <c r="AD53" s="14">
        <f>+L52</f>
        <v>5</v>
      </c>
      <c r="AE53" s="14">
        <f>+L53</f>
        <v>1</v>
      </c>
      <c r="AF53" s="14">
        <f>+J52</f>
        <v>1</v>
      </c>
      <c r="AG53" s="14">
        <f>+J53</f>
        <v>2</v>
      </c>
      <c r="AH53" s="121">
        <f t="shared" si="5"/>
        <v>40392</v>
      </c>
    </row>
    <row r="54" spans="1:34" ht="15.75" customHeight="1">
      <c r="A54" s="288">
        <v>7</v>
      </c>
      <c r="B54" s="291">
        <v>40399</v>
      </c>
      <c r="C54" s="314" t="s">
        <v>107</v>
      </c>
      <c r="D54" s="308">
        <v>1</v>
      </c>
      <c r="E54" s="280">
        <v>0.3958333333333333</v>
      </c>
      <c r="F54" s="306">
        <v>0.4375</v>
      </c>
      <c r="G54" s="84" t="s">
        <v>30</v>
      </c>
      <c r="H54" s="318" t="str">
        <f>VLOOKUP(G54,'参加チーム'!$B$5:$G$73,IF($N$2=1,4,5),FALSE)</f>
        <v>volviendo</v>
      </c>
      <c r="I54" s="300">
        <f>IF(J54&lt;&gt;"",J54+J55,"")</f>
        <v>1</v>
      </c>
      <c r="J54" s="123">
        <v>1</v>
      </c>
      <c r="K54" s="301" t="s">
        <v>86</v>
      </c>
      <c r="L54" s="123">
        <v>2</v>
      </c>
      <c r="M54" s="300">
        <f>IF(L54&lt;&gt;"",L54+L55,"")</f>
        <v>3</v>
      </c>
      <c r="N54" s="84" t="s">
        <v>28</v>
      </c>
      <c r="O54" s="318" t="str">
        <f>VLOOKUP(N54,'参加チーム'!$B$5:$G$73,IF($N$2=1,4,5),FALSE)</f>
        <v>Sabedoria</v>
      </c>
      <c r="P54" s="326" t="str">
        <f>+O54</f>
        <v>Sabedoria</v>
      </c>
      <c r="Q54" s="322" t="str">
        <f>+H54</f>
        <v>volviendo</v>
      </c>
      <c r="S54" s="17" t="str">
        <f>+"前"&amp;G54&amp;N54</f>
        <v>前ＦＥ</v>
      </c>
      <c r="T54" s="18">
        <f>IF(I54&lt;&gt;"",I54,"")</f>
        <v>1</v>
      </c>
      <c r="U54" s="18">
        <f>IF(M54&lt;&gt;"",M54,"")</f>
        <v>3</v>
      </c>
      <c r="V54" s="19">
        <f>+B54</f>
        <v>40399</v>
      </c>
      <c r="X54" s="117">
        <f t="shared" si="9"/>
        <v>8</v>
      </c>
      <c r="Y54" s="117">
        <f t="shared" si="10"/>
        <v>10</v>
      </c>
      <c r="Z54" s="117" t="str">
        <f t="shared" si="11"/>
        <v> 8/10</v>
      </c>
      <c r="AA54" s="117" t="str">
        <f t="shared" si="12"/>
        <v>●</v>
      </c>
      <c r="AB54" s="14" t="str">
        <f>IF(T54&lt;&gt;"",H54,"")</f>
        <v>volviendo</v>
      </c>
      <c r="AC54" s="117" t="str">
        <f>+Z54&amp;" "&amp;AA54&amp;" "&amp;T54&amp;"-"&amp;U54&amp;" "&amp;O54</f>
        <v> 8/10 ● 1-3 Sabedoria</v>
      </c>
      <c r="AD54" s="14">
        <f>+J54</f>
        <v>1</v>
      </c>
      <c r="AE54" s="14">
        <f>+J55</f>
        <v>0</v>
      </c>
      <c r="AF54" s="14">
        <f>+L54</f>
        <v>2</v>
      </c>
      <c r="AG54" s="14">
        <f>+L55</f>
        <v>1</v>
      </c>
      <c r="AH54" s="121">
        <f t="shared" si="5"/>
        <v>40399</v>
      </c>
    </row>
    <row r="55" spans="1:34" ht="15.75" customHeight="1">
      <c r="A55" s="289"/>
      <c r="B55" s="292"/>
      <c r="C55" s="311"/>
      <c r="D55" s="309"/>
      <c r="E55" s="281"/>
      <c r="F55" s="307"/>
      <c r="G55" s="85" t="str">
        <f>LEFT(VLOOKUP(G54,'参加チーム'!$B$5:$G$73,6,FALSE),2)</f>
        <v>福島</v>
      </c>
      <c r="H55" s="317"/>
      <c r="I55" s="281"/>
      <c r="J55" s="116">
        <v>0</v>
      </c>
      <c r="K55" s="302"/>
      <c r="L55" s="116">
        <v>1</v>
      </c>
      <c r="M55" s="281"/>
      <c r="N55" s="85" t="str">
        <f>LEFT(VLOOKUP(N54,'参加チーム'!$B$5:$G$73,6,FALSE),2)</f>
        <v>岩手</v>
      </c>
      <c r="O55" s="317"/>
      <c r="P55" s="307"/>
      <c r="Q55" s="323"/>
      <c r="S55" s="20" t="str">
        <f>+"前"&amp;N54&amp;G54</f>
        <v>前ＥＦ</v>
      </c>
      <c r="T55" s="16">
        <f>IF(M54&lt;&gt;"",M54,"")</f>
        <v>3</v>
      </c>
      <c r="U55" s="16">
        <f>IF(I54&lt;&gt;"",I54,"")</f>
        <v>1</v>
      </c>
      <c r="V55" s="21">
        <f>+B54</f>
        <v>40399</v>
      </c>
      <c r="X55" s="117">
        <f t="shared" si="9"/>
        <v>8</v>
      </c>
      <c r="Y55" s="117">
        <f t="shared" si="10"/>
        <v>10</v>
      </c>
      <c r="Z55" s="117" t="str">
        <f t="shared" si="11"/>
        <v> 8/10</v>
      </c>
      <c r="AA55" s="117" t="str">
        <f t="shared" si="12"/>
        <v>○</v>
      </c>
      <c r="AB55" s="14" t="str">
        <f aca="true" t="shared" si="15" ref="AB55:AB61">IF(T55&lt;&gt;"",O54,"")</f>
        <v>Sabedoria</v>
      </c>
      <c r="AC55" s="117" t="str">
        <f>+Z55&amp;" "&amp;AA55&amp;" "&amp;T55&amp;"-"&amp;U55&amp;" "&amp;H54</f>
        <v> 8/10 ○ 3-1 volviendo</v>
      </c>
      <c r="AD55" s="14">
        <f>+L54</f>
        <v>2</v>
      </c>
      <c r="AE55" s="14">
        <f>+L55</f>
        <v>1</v>
      </c>
      <c r="AF55" s="14">
        <f>+J54</f>
        <v>1</v>
      </c>
      <c r="AG55" s="14">
        <f>+J55</f>
        <v>0</v>
      </c>
      <c r="AH55" s="121">
        <f t="shared" si="5"/>
        <v>40399</v>
      </c>
    </row>
    <row r="56" spans="1:34" ht="15.75" customHeight="1">
      <c r="A56" s="289"/>
      <c r="B56" s="292"/>
      <c r="C56" s="311"/>
      <c r="D56" s="297">
        <v>2</v>
      </c>
      <c r="E56" s="282">
        <v>0.45138888888888895</v>
      </c>
      <c r="F56" s="312">
        <v>0.513888888888889</v>
      </c>
      <c r="G56" s="86" t="s">
        <v>26</v>
      </c>
      <c r="H56" s="316" t="str">
        <f>VLOOKUP(G56,'参加チーム'!$B$5:$G$73,IF($N$2=1,4,5),FALSE)</f>
        <v>malva</v>
      </c>
      <c r="I56" s="304">
        <f>IF(J56&lt;&gt;"",J56+J57,"")</f>
        <v>3</v>
      </c>
      <c r="J56" s="116">
        <v>1</v>
      </c>
      <c r="K56" s="303" t="s">
        <v>86</v>
      </c>
      <c r="L56" s="116">
        <v>1</v>
      </c>
      <c r="M56" s="304">
        <f>IF(L56&lt;&gt;"",L56+L57,"")</f>
        <v>2</v>
      </c>
      <c r="N56" s="86" t="s">
        <v>15</v>
      </c>
      <c r="O56" s="316" t="str">
        <f>VLOOKUP(N56,'参加チーム'!$B$5:$G$73,IF($N$2=1,4,5),FALSE)</f>
        <v>CROSS</v>
      </c>
      <c r="P56" s="325" t="str">
        <f>+O56</f>
        <v>CROSS</v>
      </c>
      <c r="Q56" s="323"/>
      <c r="S56" s="20" t="str">
        <f>+"前"&amp;G56&amp;N56</f>
        <v>前ＤH</v>
      </c>
      <c r="T56" s="16">
        <f>+I56</f>
        <v>3</v>
      </c>
      <c r="U56" s="16">
        <f>+M56</f>
        <v>2</v>
      </c>
      <c r="V56" s="21">
        <f>+B54</f>
        <v>40399</v>
      </c>
      <c r="X56" s="117">
        <f t="shared" si="9"/>
        <v>8</v>
      </c>
      <c r="Y56" s="117">
        <f t="shared" si="10"/>
        <v>10</v>
      </c>
      <c r="Z56" s="117" t="str">
        <f t="shared" si="11"/>
        <v> 8/10</v>
      </c>
      <c r="AA56" s="117" t="str">
        <f t="shared" si="12"/>
        <v>○</v>
      </c>
      <c r="AB56" s="14" t="str">
        <f>IF(T56&lt;&gt;"",H56,"")</f>
        <v>malva</v>
      </c>
      <c r="AC56" s="117" t="str">
        <f>+Z56&amp;" "&amp;AA56&amp;" "&amp;T56&amp;"-"&amp;U56&amp;" "&amp;O56</f>
        <v> 8/10 ○ 3-2 CROSS</v>
      </c>
      <c r="AD56" s="14">
        <f>+J56</f>
        <v>1</v>
      </c>
      <c r="AE56" s="14">
        <f>+J57</f>
        <v>2</v>
      </c>
      <c r="AF56" s="14">
        <f>+L56</f>
        <v>1</v>
      </c>
      <c r="AG56" s="14">
        <f>+L57</f>
        <v>1</v>
      </c>
      <c r="AH56" s="121">
        <f t="shared" si="5"/>
        <v>40399</v>
      </c>
    </row>
    <row r="57" spans="1:34" ht="15.75" customHeight="1">
      <c r="A57" s="289"/>
      <c r="B57" s="292"/>
      <c r="C57" s="294" t="s">
        <v>232</v>
      </c>
      <c r="D57" s="309"/>
      <c r="E57" s="281"/>
      <c r="F57" s="307"/>
      <c r="G57" s="85" t="str">
        <f>LEFT(VLOOKUP(G56,'参加チーム'!$B$5:$G$73,6,FALSE),2)</f>
        <v>山形</v>
      </c>
      <c r="H57" s="317"/>
      <c r="I57" s="281"/>
      <c r="J57" s="116">
        <v>2</v>
      </c>
      <c r="K57" s="302"/>
      <c r="L57" s="116">
        <v>1</v>
      </c>
      <c r="M57" s="281"/>
      <c r="N57" s="85" t="str">
        <f>LEFT(VLOOKUP(N56,'参加チーム'!$B$5:$G$73,6,FALSE),2)</f>
        <v>岩手</v>
      </c>
      <c r="O57" s="317"/>
      <c r="P57" s="307"/>
      <c r="Q57" s="323"/>
      <c r="S57" s="20" t="str">
        <f>+"前"&amp;N56&amp;G56</f>
        <v>前HＤ</v>
      </c>
      <c r="T57" s="16">
        <f>+M56</f>
        <v>2</v>
      </c>
      <c r="U57" s="16">
        <f>+I56</f>
        <v>3</v>
      </c>
      <c r="V57" s="21">
        <f>+B54</f>
        <v>40399</v>
      </c>
      <c r="X57" s="117">
        <f t="shared" si="9"/>
        <v>8</v>
      </c>
      <c r="Y57" s="117">
        <f t="shared" si="10"/>
        <v>10</v>
      </c>
      <c r="Z57" s="117" t="str">
        <f t="shared" si="11"/>
        <v> 8/10</v>
      </c>
      <c r="AA57" s="117" t="str">
        <f t="shared" si="12"/>
        <v>●</v>
      </c>
      <c r="AB57" s="14" t="str">
        <f t="shared" si="15"/>
        <v>CROSS</v>
      </c>
      <c r="AC57" s="117" t="str">
        <f>+Z57&amp;" "&amp;AA57&amp;" "&amp;T57&amp;"-"&amp;U57&amp;" "&amp;H56</f>
        <v> 8/10 ● 2-3 malva</v>
      </c>
      <c r="AD57" s="14">
        <f>+L56</f>
        <v>1</v>
      </c>
      <c r="AE57" s="14">
        <f>+L57</f>
        <v>1</v>
      </c>
      <c r="AF57" s="14">
        <f>+J56</f>
        <v>1</v>
      </c>
      <c r="AG57" s="14">
        <f>+J57</f>
        <v>2</v>
      </c>
      <c r="AH57" s="121">
        <f t="shared" si="5"/>
        <v>40399</v>
      </c>
    </row>
    <row r="58" spans="1:34" ht="15.75" customHeight="1">
      <c r="A58" s="289"/>
      <c r="B58" s="292"/>
      <c r="C58" s="295"/>
      <c r="D58" s="304">
        <v>3</v>
      </c>
      <c r="E58" s="283">
        <v>0.5277777777777778</v>
      </c>
      <c r="F58" s="312">
        <v>0.5902777777777778</v>
      </c>
      <c r="G58" s="86" t="s">
        <v>112</v>
      </c>
      <c r="H58" s="316" t="str">
        <f>VLOOKUP(G58,'参加チーム'!$B$5:$G$73,IF($N$2=1,4,5),FALSE)</f>
        <v>D-GUCCI</v>
      </c>
      <c r="I58" s="304">
        <f>IF(J58&lt;&gt;"",J58+J59,"")</f>
        <v>2</v>
      </c>
      <c r="J58" s="116">
        <v>1</v>
      </c>
      <c r="K58" s="303" t="s">
        <v>86</v>
      </c>
      <c r="L58" s="116">
        <v>0</v>
      </c>
      <c r="M58" s="304">
        <f>IF(L58&lt;&gt;"",L58+L59,"")</f>
        <v>1</v>
      </c>
      <c r="N58" s="86" t="s">
        <v>25</v>
      </c>
      <c r="O58" s="316" t="str">
        <f>VLOOKUP(N58,'参加チーム'!$B$5:$G$73,IF($N$2=1,4,5),FALSE)</f>
        <v>かちかち山</v>
      </c>
      <c r="P58" s="325" t="str">
        <f>+O58</f>
        <v>かちかち山</v>
      </c>
      <c r="Q58" s="323"/>
      <c r="S58" s="20" t="str">
        <f>+"前"&amp;G58&amp;N58</f>
        <v>前GＣ</v>
      </c>
      <c r="T58" s="16">
        <f>+I58</f>
        <v>2</v>
      </c>
      <c r="U58" s="16">
        <f>+M58</f>
        <v>1</v>
      </c>
      <c r="V58" s="21">
        <f>+B54</f>
        <v>40399</v>
      </c>
      <c r="X58" s="117">
        <f t="shared" si="9"/>
        <v>8</v>
      </c>
      <c r="Y58" s="117">
        <f t="shared" si="10"/>
        <v>10</v>
      </c>
      <c r="Z58" s="117" t="str">
        <f t="shared" si="11"/>
        <v> 8/10</v>
      </c>
      <c r="AA58" s="117" t="str">
        <f t="shared" si="12"/>
        <v>○</v>
      </c>
      <c r="AB58" s="14" t="str">
        <f>IF(T58&lt;&gt;"",H58,"")</f>
        <v>D-GUCCI</v>
      </c>
      <c r="AC58" s="117" t="str">
        <f>+Z58&amp;" "&amp;AA58&amp;" "&amp;T58&amp;"-"&amp;U58&amp;" "&amp;O58</f>
        <v> 8/10 ○ 2-1 かちかち山</v>
      </c>
      <c r="AD58" s="14">
        <f>+J58</f>
        <v>1</v>
      </c>
      <c r="AE58" s="14">
        <f>+J59</f>
        <v>1</v>
      </c>
      <c r="AF58" s="14">
        <f>+L58</f>
        <v>0</v>
      </c>
      <c r="AG58" s="14">
        <f>+L59</f>
        <v>1</v>
      </c>
      <c r="AH58" s="121">
        <f t="shared" si="5"/>
        <v>40399</v>
      </c>
    </row>
    <row r="59" spans="1:34" ht="15.75" customHeight="1">
      <c r="A59" s="289"/>
      <c r="B59" s="292"/>
      <c r="C59" s="295"/>
      <c r="D59" s="281"/>
      <c r="E59" s="284"/>
      <c r="F59" s="307"/>
      <c r="G59" s="85" t="str">
        <f>LEFT(VLOOKUP(G58,'参加チーム'!$B$5:$G$73,6,FALSE),2)</f>
        <v>宮城</v>
      </c>
      <c r="H59" s="317"/>
      <c r="I59" s="281"/>
      <c r="J59" s="116">
        <v>1</v>
      </c>
      <c r="K59" s="302"/>
      <c r="L59" s="116">
        <v>1</v>
      </c>
      <c r="M59" s="281"/>
      <c r="N59" s="85" t="str">
        <f>LEFT(VLOOKUP(N58,'参加チーム'!$B$5:$G$73,6,FALSE),2)</f>
        <v>福島</v>
      </c>
      <c r="O59" s="317"/>
      <c r="P59" s="307"/>
      <c r="Q59" s="323"/>
      <c r="S59" s="20" t="str">
        <f>+"前"&amp;N58&amp;G58</f>
        <v>前ＣG</v>
      </c>
      <c r="T59" s="16">
        <f>+M58</f>
        <v>1</v>
      </c>
      <c r="U59" s="16">
        <f>+I58</f>
        <v>2</v>
      </c>
      <c r="V59" s="21">
        <f>+B54</f>
        <v>40399</v>
      </c>
      <c r="X59" s="117">
        <f t="shared" si="9"/>
        <v>8</v>
      </c>
      <c r="Y59" s="117">
        <f t="shared" si="10"/>
        <v>10</v>
      </c>
      <c r="Z59" s="117" t="str">
        <f t="shared" si="11"/>
        <v> 8/10</v>
      </c>
      <c r="AA59" s="117" t="str">
        <f t="shared" si="12"/>
        <v>●</v>
      </c>
      <c r="AB59" s="14" t="str">
        <f t="shared" si="15"/>
        <v>かちかち山</v>
      </c>
      <c r="AC59" s="117" t="str">
        <f>+Z59&amp;" "&amp;AA59&amp;" "&amp;T59&amp;"-"&amp;U59&amp;" "&amp;H58</f>
        <v> 8/10 ● 1-2 D-GUCCI</v>
      </c>
      <c r="AD59" s="14">
        <f>+L58</f>
        <v>0</v>
      </c>
      <c r="AE59" s="14">
        <f>+L59</f>
        <v>1</v>
      </c>
      <c r="AF59" s="14">
        <f>+J58</f>
        <v>1</v>
      </c>
      <c r="AG59" s="14">
        <f>+J59</f>
        <v>1</v>
      </c>
      <c r="AH59" s="121">
        <f t="shared" si="5"/>
        <v>40399</v>
      </c>
    </row>
    <row r="60" spans="1:34" ht="15.75" customHeight="1">
      <c r="A60" s="289"/>
      <c r="B60" s="292"/>
      <c r="C60" s="295"/>
      <c r="D60" s="297">
        <v>4</v>
      </c>
      <c r="E60" s="283">
        <v>0.6041666666666666</v>
      </c>
      <c r="F60" s="312">
        <v>0.6666666666666666</v>
      </c>
      <c r="G60" s="86" t="s">
        <v>31</v>
      </c>
      <c r="H60" s="319" t="str">
        <f>VLOOKUP(G60,'参加チーム'!$B$5:$G$73,IF($N$2=1,4,5),FALSE)</f>
        <v>BANFF</v>
      </c>
      <c r="I60" s="304">
        <f>IF(J60&lt;&gt;"",J60+J61,"")</f>
        <v>0</v>
      </c>
      <c r="J60" s="116">
        <v>0</v>
      </c>
      <c r="K60" s="303" t="s">
        <v>86</v>
      </c>
      <c r="L60" s="116">
        <v>1</v>
      </c>
      <c r="M60" s="304">
        <f>IF(L60&lt;&gt;"",L60+L61,"")</f>
        <v>7</v>
      </c>
      <c r="N60" s="86" t="s">
        <v>23</v>
      </c>
      <c r="O60" s="319" t="str">
        <f>VLOOKUP(N60,'参加チーム'!$B$5:$G$73,IF($N$2=1,4,5),FALSE)</f>
        <v>ヴォスクオーレ</v>
      </c>
      <c r="P60" s="325" t="str">
        <f>+O60</f>
        <v>ヴォスクオーレ</v>
      </c>
      <c r="Q60" s="323"/>
      <c r="S60" s="20" t="str">
        <f>+"前"&amp;G60&amp;N60</f>
        <v>前ＡＢ</v>
      </c>
      <c r="T60" s="16">
        <f>+I60</f>
        <v>0</v>
      </c>
      <c r="U60" s="16">
        <f>+M60</f>
        <v>7</v>
      </c>
      <c r="V60" s="21">
        <f>+B54</f>
        <v>40399</v>
      </c>
      <c r="X60" s="117">
        <f t="shared" si="9"/>
        <v>8</v>
      </c>
      <c r="Y60" s="117">
        <f t="shared" si="10"/>
        <v>10</v>
      </c>
      <c r="Z60" s="117" t="str">
        <f t="shared" si="11"/>
        <v> 8/10</v>
      </c>
      <c r="AA60" s="117" t="str">
        <f t="shared" si="12"/>
        <v>●</v>
      </c>
      <c r="AB60" s="14" t="str">
        <f>IF(T60&lt;&gt;"",H60,"")</f>
        <v>BANFF</v>
      </c>
      <c r="AC60" s="117" t="str">
        <f>+Z60&amp;" "&amp;AA60&amp;" "&amp;T60&amp;"-"&amp;U60&amp;" "&amp;O60</f>
        <v> 8/10 ● 0-7 ヴォスクオーレ</v>
      </c>
      <c r="AD60" s="14">
        <f>+J60</f>
        <v>0</v>
      </c>
      <c r="AE60" s="14">
        <f>+J61</f>
        <v>0</v>
      </c>
      <c r="AF60" s="14">
        <f>+L60</f>
        <v>1</v>
      </c>
      <c r="AG60" s="14">
        <f>+L61</f>
        <v>6</v>
      </c>
      <c r="AH60" s="121">
        <f t="shared" si="5"/>
        <v>40399</v>
      </c>
    </row>
    <row r="61" spans="1:34" ht="15.75" customHeight="1" thickBot="1">
      <c r="A61" s="290"/>
      <c r="B61" s="293"/>
      <c r="C61" s="296"/>
      <c r="D61" s="298"/>
      <c r="E61" s="285"/>
      <c r="F61" s="315"/>
      <c r="G61" s="124" t="str">
        <f>LEFT(VLOOKUP(G60,'参加チーム'!$B$5:$G$73,6,FALSE),2)</f>
        <v>宮城</v>
      </c>
      <c r="H61" s="320"/>
      <c r="I61" s="305"/>
      <c r="J61" s="125">
        <v>0</v>
      </c>
      <c r="K61" s="321"/>
      <c r="L61" s="125">
        <v>6</v>
      </c>
      <c r="M61" s="305"/>
      <c r="N61" s="124" t="str">
        <f>LEFT(VLOOKUP(N60,'参加チーム'!$B$5:$G$73,6,FALSE),2)</f>
        <v>宮城</v>
      </c>
      <c r="O61" s="320"/>
      <c r="P61" s="315"/>
      <c r="Q61" s="324"/>
      <c r="S61" s="22" t="str">
        <f>+"前"&amp;N60&amp;G60</f>
        <v>前ＢＡ</v>
      </c>
      <c r="T61" s="23">
        <f>+M60</f>
        <v>7</v>
      </c>
      <c r="U61" s="23">
        <f>+I60</f>
        <v>0</v>
      </c>
      <c r="V61" s="24">
        <f>+B54</f>
        <v>40399</v>
      </c>
      <c r="X61" s="117">
        <f t="shared" si="9"/>
        <v>8</v>
      </c>
      <c r="Y61" s="117">
        <f t="shared" si="10"/>
        <v>10</v>
      </c>
      <c r="Z61" s="117" t="str">
        <f t="shared" si="11"/>
        <v> 8/10</v>
      </c>
      <c r="AA61" s="117" t="str">
        <f t="shared" si="12"/>
        <v>○</v>
      </c>
      <c r="AB61" s="14" t="str">
        <f t="shared" si="15"/>
        <v>ヴォスクオーレ</v>
      </c>
      <c r="AC61" s="117" t="str">
        <f>+Z61&amp;" "&amp;AA61&amp;" "&amp;T61&amp;"-"&amp;U61&amp;" "&amp;H60</f>
        <v> 8/10 ○ 7-0 BANFF</v>
      </c>
      <c r="AD61" s="14">
        <f>+L60</f>
        <v>1</v>
      </c>
      <c r="AE61" s="14">
        <f>+L61</f>
        <v>6</v>
      </c>
      <c r="AF61" s="14">
        <f>+J60</f>
        <v>0</v>
      </c>
      <c r="AG61" s="14">
        <f>+J61</f>
        <v>0</v>
      </c>
      <c r="AH61" s="121">
        <f t="shared" si="5"/>
        <v>40399</v>
      </c>
    </row>
    <row r="63" spans="1:20" ht="28.5" customHeight="1" thickBot="1">
      <c r="A63" s="33" t="s">
        <v>100</v>
      </c>
      <c r="E63" s="163">
        <v>0.0625</v>
      </c>
      <c r="S63" s="15"/>
      <c r="T63" s="16"/>
    </row>
    <row r="64" spans="1:45" ht="28.5" customHeight="1" thickBot="1">
      <c r="A64" s="93"/>
      <c r="B64" s="26" t="s">
        <v>52</v>
      </c>
      <c r="C64" s="80" t="s">
        <v>53</v>
      </c>
      <c r="D64" s="26" t="s">
        <v>89</v>
      </c>
      <c r="E64" s="26" t="s">
        <v>310</v>
      </c>
      <c r="F64" s="26" t="s">
        <v>54</v>
      </c>
      <c r="G64" s="27"/>
      <c r="H64" s="28" t="s">
        <v>90</v>
      </c>
      <c r="I64" s="299" t="s">
        <v>55</v>
      </c>
      <c r="J64" s="299"/>
      <c r="K64" s="299"/>
      <c r="L64" s="299"/>
      <c r="M64" s="299"/>
      <c r="N64" s="27"/>
      <c r="O64" s="28" t="s">
        <v>91</v>
      </c>
      <c r="P64" s="26" t="s">
        <v>118</v>
      </c>
      <c r="Q64" s="29" t="s">
        <v>51</v>
      </c>
      <c r="S64" s="16"/>
      <c r="T64" s="16"/>
      <c r="AI64" s="160"/>
      <c r="AL64" s="170" t="s">
        <v>313</v>
      </c>
      <c r="AM64" s="170" t="s">
        <v>314</v>
      </c>
      <c r="AN64" s="170"/>
      <c r="AO64" s="170" t="s">
        <v>315</v>
      </c>
      <c r="AP64" s="170" t="s">
        <v>316</v>
      </c>
      <c r="AQ64" s="170"/>
      <c r="AR64" s="170" t="s">
        <v>312</v>
      </c>
      <c r="AS64" s="170" t="s">
        <v>311</v>
      </c>
    </row>
    <row r="65" spans="1:45" ht="15.75" customHeight="1">
      <c r="A65" s="288">
        <v>8</v>
      </c>
      <c r="B65" s="291">
        <v>40427</v>
      </c>
      <c r="C65" s="314" t="s">
        <v>57</v>
      </c>
      <c r="D65" s="308">
        <v>1</v>
      </c>
      <c r="E65" s="280">
        <v>0.3958333333333333</v>
      </c>
      <c r="F65" s="280">
        <v>0.4375</v>
      </c>
      <c r="G65" s="84" t="str">
        <f>VLOOKUP(D65,AL65:AP72,IF(VLOOKUP(D65,AL65:AP72,5,FALSE)=1,4,2),FALSE)</f>
        <v>G</v>
      </c>
      <c r="H65" s="318" t="str">
        <f>IF(G65&lt;&gt;"",VLOOKUP(G65,'参加チーム'!$B$5:$G$73,IF($N$2=1,4,5),FALSE),"")</f>
        <v>D-GUCCI</v>
      </c>
      <c r="I65" s="300">
        <f>IF(J65&lt;&gt;"",J65+J66,"")</f>
      </c>
      <c r="J65" s="123"/>
      <c r="K65" s="301" t="s">
        <v>86</v>
      </c>
      <c r="L65" s="123"/>
      <c r="M65" s="300">
        <f>IF(L65&lt;&gt;"",L65+L66,"")</f>
      </c>
      <c r="N65" s="84" t="str">
        <f>VLOOKUP(D65,AL65:AP72,IF(VLOOKUP(D65,AL65:AP72,5,FALSE)=1,2,4),FALSE)</f>
        <v>Ｅ</v>
      </c>
      <c r="O65" s="318" t="str">
        <f>IF(N65&lt;&gt;"",VLOOKUP(N65,'参加チーム'!$B$5:$G$73,IF($N$2=1,4,5),FALSE),"")</f>
        <v>Sabedoria</v>
      </c>
      <c r="P65" s="326" t="str">
        <f>+O65</f>
        <v>Sabedoria</v>
      </c>
      <c r="Q65" s="322" t="str">
        <f>+O65</f>
        <v>Sabedoria</v>
      </c>
      <c r="S65" s="17" t="str">
        <f>+"後"&amp;G65&amp;N65</f>
        <v>後GＥ</v>
      </c>
      <c r="T65" s="18">
        <f>IF(I65&lt;&gt;"",I65,"")</f>
      </c>
      <c r="U65" s="18">
        <f>IF(M65&lt;&gt;"",M65,"")</f>
      </c>
      <c r="V65" s="19">
        <f>+B65</f>
        <v>40427</v>
      </c>
      <c r="X65" s="117">
        <f aca="true" t="shared" si="16" ref="X65:X88">MONTH(V65)</f>
        <v>9</v>
      </c>
      <c r="Y65" s="117">
        <f aca="true" t="shared" si="17" ref="Y65:Y88">DAY(V65)</f>
        <v>7</v>
      </c>
      <c r="Z65" s="117" t="str">
        <f aca="true" t="shared" si="18" ref="Z65:Z88">IF(LEN(X65)=1," ","")&amp;X65&amp;"/"&amp;IF(LEN(Y65)=1," ","")&amp;Y65</f>
        <v> 9/ 7</v>
      </c>
      <c r="AA65" s="117" t="str">
        <f aca="true" t="shared" si="19" ref="AA65:AA88">IF(T65&gt;U65,"○",IF(T65&lt;U65,"●","△"))</f>
        <v>△</v>
      </c>
      <c r="AB65" s="14">
        <f>IF(T65&lt;&gt;"",H65,"")</f>
      </c>
      <c r="AC65" s="117" t="str">
        <f>+Z65&amp;" "&amp;AA65&amp;" "&amp;T65&amp;"-"&amp;U65&amp;" "&amp;O65</f>
        <v> 9/ 7 △ - Sabedoria</v>
      </c>
      <c r="AD65" s="14">
        <f>+J65</f>
        <v>0</v>
      </c>
      <c r="AE65" s="14">
        <f>+J66</f>
        <v>0</v>
      </c>
      <c r="AF65" s="14">
        <f>+L65</f>
        <v>0</v>
      </c>
      <c r="AG65" s="14">
        <f>+L66</f>
        <v>0</v>
      </c>
      <c r="AH65" s="121">
        <f aca="true" t="shared" si="20" ref="AH65:AH120">+V65</f>
        <v>40427</v>
      </c>
      <c r="AL65" s="164">
        <v>4</v>
      </c>
      <c r="AM65" s="165" t="str">
        <f>+AS65</f>
        <v>Ｂ</v>
      </c>
      <c r="AN65" s="165"/>
      <c r="AO65" s="165" t="str">
        <f>+AS72</f>
        <v>H</v>
      </c>
      <c r="AP65" s="164"/>
      <c r="AR65" s="165">
        <v>1</v>
      </c>
      <c r="AS65" s="165" t="s">
        <v>45</v>
      </c>
    </row>
    <row r="66" spans="1:45" ht="15.75" customHeight="1">
      <c r="A66" s="289"/>
      <c r="B66" s="292"/>
      <c r="C66" s="311"/>
      <c r="D66" s="309"/>
      <c r="E66" s="281"/>
      <c r="F66" s="286"/>
      <c r="G66" s="85" t="str">
        <f>LEFT(VLOOKUP(G65,'参加チーム'!$B$5:$G$73,6,FALSE),2)</f>
        <v>宮城</v>
      </c>
      <c r="H66" s="317"/>
      <c r="I66" s="281"/>
      <c r="J66" s="116"/>
      <c r="K66" s="302"/>
      <c r="L66" s="116"/>
      <c r="M66" s="281"/>
      <c r="N66" s="85" t="str">
        <f>LEFT(VLOOKUP(N65,'参加チーム'!$B$5:$G$73,6,FALSE),2)</f>
        <v>岩手</v>
      </c>
      <c r="O66" s="317"/>
      <c r="P66" s="307"/>
      <c r="Q66" s="323"/>
      <c r="S66" s="20" t="str">
        <f>+"後"&amp;N65&amp;G65</f>
        <v>後ＥG</v>
      </c>
      <c r="T66" s="16">
        <f>IF(M65&lt;&gt;"",M65,"")</f>
      </c>
      <c r="U66" s="16">
        <f>IF(I65&lt;&gt;"",I65,"")</f>
      </c>
      <c r="V66" s="21">
        <f>+B65</f>
        <v>40427</v>
      </c>
      <c r="X66" s="117">
        <f t="shared" si="16"/>
        <v>9</v>
      </c>
      <c r="Y66" s="117">
        <f t="shared" si="17"/>
        <v>7</v>
      </c>
      <c r="Z66" s="117" t="str">
        <f t="shared" si="18"/>
        <v> 9/ 7</v>
      </c>
      <c r="AA66" s="117" t="str">
        <f t="shared" si="19"/>
        <v>△</v>
      </c>
      <c r="AB66" s="14">
        <f aca="true" t="shared" si="21" ref="AB66:AB72">IF(T66&lt;&gt;"",O65,"")</f>
      </c>
      <c r="AC66" s="117" t="str">
        <f>+Z66&amp;" "&amp;AA66&amp;" "&amp;T66&amp;"-"&amp;U66&amp;" "&amp;H65</f>
        <v> 9/ 7 △ - D-GUCCI</v>
      </c>
      <c r="AD66" s="14">
        <f>+L65</f>
        <v>0</v>
      </c>
      <c r="AE66" s="14">
        <f>+L66</f>
        <v>0</v>
      </c>
      <c r="AF66" s="14">
        <f>+J65</f>
        <v>0</v>
      </c>
      <c r="AG66" s="14">
        <f>+J66</f>
        <v>0</v>
      </c>
      <c r="AH66" s="121">
        <f t="shared" si="20"/>
        <v>40427</v>
      </c>
      <c r="AL66" s="164"/>
      <c r="AM66" s="165"/>
      <c r="AN66" s="165"/>
      <c r="AO66" s="165"/>
      <c r="AP66" s="164"/>
      <c r="AR66" s="165">
        <v>2</v>
      </c>
      <c r="AS66" s="165" t="s">
        <v>46</v>
      </c>
    </row>
    <row r="67" spans="1:45" ht="15.75" customHeight="1">
      <c r="A67" s="289"/>
      <c r="B67" s="292"/>
      <c r="C67" s="311"/>
      <c r="D67" s="297">
        <v>2</v>
      </c>
      <c r="E67" s="282">
        <v>0.45138888888888895</v>
      </c>
      <c r="F67" s="282">
        <v>0.513888888888889</v>
      </c>
      <c r="G67" s="86" t="str">
        <f>VLOOKUP(D67,AL65:AP72,IF(VLOOKUP(D67,AL65:AP72,5,FALSE)=1,4,2),FALSE)</f>
        <v>Ａ</v>
      </c>
      <c r="H67" s="316" t="str">
        <f>IF(G67&lt;&gt;"",VLOOKUP(G67,'参加チーム'!$B$5:$G$73,IF($N$2=1,4,5),FALSE),"")</f>
        <v>BANFF</v>
      </c>
      <c r="I67" s="304">
        <f>IF(J67&lt;&gt;"",J67+J68,"")</f>
      </c>
      <c r="J67" s="116"/>
      <c r="K67" s="303" t="s">
        <v>120</v>
      </c>
      <c r="L67" s="116"/>
      <c r="M67" s="304">
        <f>IF(L67&lt;&gt;"",L67+L68,"")</f>
      </c>
      <c r="N67" s="86" t="str">
        <f>VLOOKUP(D67,AL65:AP72,IF(VLOOKUP(D67,AL65:AP72,5,FALSE)=1,2,4),FALSE)</f>
        <v>Ｄ</v>
      </c>
      <c r="O67" s="316" t="str">
        <f>IF(N67&lt;&gt;"",VLOOKUP(N67,'参加チーム'!$B$5:$G$73,IF($N$2=1,4,5),FALSE),"")</f>
        <v>malva</v>
      </c>
      <c r="P67" s="325" t="str">
        <f>+O67</f>
        <v>malva</v>
      </c>
      <c r="Q67" s="323"/>
      <c r="S67" s="20" t="str">
        <f>+"後"&amp;G67&amp;N67</f>
        <v>後ＡＤ</v>
      </c>
      <c r="T67" s="16">
        <f>+I67</f>
      </c>
      <c r="U67" s="16">
        <f>+M67</f>
      </c>
      <c r="V67" s="21">
        <f>+B65</f>
        <v>40427</v>
      </c>
      <c r="X67" s="117">
        <f t="shared" si="16"/>
        <v>9</v>
      </c>
      <c r="Y67" s="117">
        <f t="shared" si="17"/>
        <v>7</v>
      </c>
      <c r="Z67" s="117" t="str">
        <f t="shared" si="18"/>
        <v> 9/ 7</v>
      </c>
      <c r="AA67" s="117" t="str">
        <f t="shared" si="19"/>
        <v>△</v>
      </c>
      <c r="AB67" s="14">
        <f>IF(T67&lt;&gt;"",H67,"")</f>
      </c>
      <c r="AC67" s="117" t="str">
        <f>+Z67&amp;" "&amp;AA67&amp;" "&amp;T67&amp;"-"&amp;U67&amp;" "&amp;O67</f>
        <v> 9/ 7 △ - malva</v>
      </c>
      <c r="AD67" s="14">
        <f>+J67</f>
        <v>0</v>
      </c>
      <c r="AE67" s="14">
        <f>+J68</f>
        <v>0</v>
      </c>
      <c r="AF67" s="14">
        <f>+L67</f>
        <v>0</v>
      </c>
      <c r="AG67" s="14">
        <f>+L68</f>
        <v>0</v>
      </c>
      <c r="AH67" s="121">
        <f t="shared" si="20"/>
        <v>40427</v>
      </c>
      <c r="AL67" s="164">
        <v>3</v>
      </c>
      <c r="AM67" s="165" t="str">
        <f>+AS66</f>
        <v>Ｆ</v>
      </c>
      <c r="AN67" s="165"/>
      <c r="AO67" s="165" t="str">
        <f>+AS71</f>
        <v>Ｃ</v>
      </c>
      <c r="AP67" s="164"/>
      <c r="AR67" s="165">
        <v>3</v>
      </c>
      <c r="AS67" s="165" t="s">
        <v>116</v>
      </c>
    </row>
    <row r="68" spans="1:45" ht="15.75" customHeight="1">
      <c r="A68" s="289"/>
      <c r="B68" s="292"/>
      <c r="C68" s="294" t="s">
        <v>42</v>
      </c>
      <c r="D68" s="309"/>
      <c r="E68" s="281"/>
      <c r="F68" s="286"/>
      <c r="G68" s="85" t="str">
        <f>LEFT(VLOOKUP(G67,'参加チーム'!$B$5:$G$73,6,FALSE),2)</f>
        <v>宮城</v>
      </c>
      <c r="H68" s="317"/>
      <c r="I68" s="281"/>
      <c r="J68" s="116"/>
      <c r="K68" s="302"/>
      <c r="L68" s="116"/>
      <c r="M68" s="281"/>
      <c r="N68" s="85" t="str">
        <f>LEFT(VLOOKUP(N67,'参加チーム'!$B$5:$G$73,6,FALSE),2)</f>
        <v>山形</v>
      </c>
      <c r="O68" s="317"/>
      <c r="P68" s="307"/>
      <c r="Q68" s="323"/>
      <c r="S68" s="20" t="str">
        <f>+"後"&amp;N67&amp;G67</f>
        <v>後ＤＡ</v>
      </c>
      <c r="T68" s="16">
        <f>+M67</f>
      </c>
      <c r="U68" s="16">
        <f>+I67</f>
      </c>
      <c r="V68" s="21">
        <f>+B65</f>
        <v>40427</v>
      </c>
      <c r="X68" s="117">
        <f t="shared" si="16"/>
        <v>9</v>
      </c>
      <c r="Y68" s="117">
        <f t="shared" si="17"/>
        <v>7</v>
      </c>
      <c r="Z68" s="117" t="str">
        <f t="shared" si="18"/>
        <v> 9/ 7</v>
      </c>
      <c r="AA68" s="117" t="str">
        <f t="shared" si="19"/>
        <v>△</v>
      </c>
      <c r="AB68" s="14">
        <f t="shared" si="21"/>
      </c>
      <c r="AC68" s="117" t="str">
        <f>+Z68&amp;" "&amp;AA68&amp;" "&amp;T68&amp;"-"&amp;U68&amp;" "&amp;H67</f>
        <v> 9/ 7 △ - BANFF</v>
      </c>
      <c r="AD68" s="14">
        <f>+L67</f>
        <v>0</v>
      </c>
      <c r="AE68" s="14">
        <f>+L68</f>
        <v>0</v>
      </c>
      <c r="AF68" s="14">
        <f>+J67</f>
        <v>0</v>
      </c>
      <c r="AG68" s="14">
        <f>+J68</f>
        <v>0</v>
      </c>
      <c r="AH68" s="121">
        <f t="shared" si="20"/>
        <v>40427</v>
      </c>
      <c r="AL68" s="164"/>
      <c r="AM68" s="165"/>
      <c r="AN68" s="165"/>
      <c r="AO68" s="165"/>
      <c r="AP68" s="164"/>
      <c r="AR68" s="165">
        <v>4</v>
      </c>
      <c r="AS68" s="165" t="s">
        <v>47</v>
      </c>
    </row>
    <row r="69" spans="1:45" ht="15.75" customHeight="1">
      <c r="A69" s="289"/>
      <c r="B69" s="292"/>
      <c r="C69" s="295"/>
      <c r="D69" s="304">
        <v>3</v>
      </c>
      <c r="E69" s="283">
        <v>0.5277777777777778</v>
      </c>
      <c r="F69" s="282">
        <v>0.5902777777777778</v>
      </c>
      <c r="G69" s="86" t="str">
        <f>VLOOKUP(D69,AL65:AP72,IF(VLOOKUP(D69,AL65:AP72,5,FALSE)=1,4,2),FALSE)</f>
        <v>Ｆ</v>
      </c>
      <c r="H69" s="316" t="str">
        <f>IF(G69&lt;&gt;"",VLOOKUP(G69,'参加チーム'!$B$5:$G$73,IF($N$2=1,4,5),FALSE),"")</f>
        <v>volviendo</v>
      </c>
      <c r="I69" s="304">
        <f>IF(J69&lt;&gt;"",J69+J70,"")</f>
      </c>
      <c r="J69" s="116"/>
      <c r="K69" s="303" t="s">
        <v>120</v>
      </c>
      <c r="L69" s="116"/>
      <c r="M69" s="304">
        <f>IF(L69&lt;&gt;"",L69+L70,"")</f>
      </c>
      <c r="N69" s="86" t="str">
        <f>VLOOKUP(D69,AL65:AP72,IF(VLOOKUP(D69,AL65:AP72,5,FALSE)=1,2,4),FALSE)</f>
        <v>Ｃ</v>
      </c>
      <c r="O69" s="316" t="str">
        <f>IF(N69&lt;&gt;"",VLOOKUP(N69,'参加チーム'!$B$5:$G$73,IF($N$2=1,4,5),FALSE),"")</f>
        <v>かちかち山</v>
      </c>
      <c r="P69" s="325" t="str">
        <f>+O69</f>
        <v>かちかち山</v>
      </c>
      <c r="Q69" s="323"/>
      <c r="S69" s="20" t="str">
        <f>+"後"&amp;G69&amp;N69</f>
        <v>後ＦＣ</v>
      </c>
      <c r="T69" s="16">
        <f>+I69</f>
      </c>
      <c r="U69" s="16">
        <f>+M69</f>
      </c>
      <c r="V69" s="21">
        <f>+B65</f>
        <v>40427</v>
      </c>
      <c r="X69" s="117">
        <f t="shared" si="16"/>
        <v>9</v>
      </c>
      <c r="Y69" s="117">
        <f t="shared" si="17"/>
        <v>7</v>
      </c>
      <c r="Z69" s="117" t="str">
        <f t="shared" si="18"/>
        <v> 9/ 7</v>
      </c>
      <c r="AA69" s="117" t="str">
        <f t="shared" si="19"/>
        <v>△</v>
      </c>
      <c r="AB69" s="14">
        <f>IF(T69&lt;&gt;"",H69,"")</f>
      </c>
      <c r="AC69" s="117" t="str">
        <f>+Z69&amp;" "&amp;AA69&amp;" "&amp;T69&amp;"-"&amp;U69&amp;" "&amp;O69</f>
        <v> 9/ 7 △ - かちかち山</v>
      </c>
      <c r="AD69" s="14">
        <f>+J69</f>
        <v>0</v>
      </c>
      <c r="AE69" s="14">
        <f>+J70</f>
        <v>0</v>
      </c>
      <c r="AF69" s="14">
        <f>+L69</f>
        <v>0</v>
      </c>
      <c r="AG69" s="14">
        <f>+L70</f>
        <v>0</v>
      </c>
      <c r="AH69" s="121">
        <f t="shared" si="20"/>
        <v>40427</v>
      </c>
      <c r="AL69" s="164">
        <v>1</v>
      </c>
      <c r="AM69" s="165" t="str">
        <f>+AS67</f>
        <v>G</v>
      </c>
      <c r="AN69" s="165"/>
      <c r="AO69" s="165" t="str">
        <f>+AS70</f>
        <v>Ｅ</v>
      </c>
      <c r="AP69" s="164"/>
      <c r="AR69" s="165">
        <v>5</v>
      </c>
      <c r="AS69" s="165" t="s">
        <v>48</v>
      </c>
    </row>
    <row r="70" spans="1:45" ht="15.75" customHeight="1">
      <c r="A70" s="289"/>
      <c r="B70" s="292"/>
      <c r="C70" s="295"/>
      <c r="D70" s="281"/>
      <c r="E70" s="284"/>
      <c r="F70" s="286"/>
      <c r="G70" s="85" t="str">
        <f>LEFT(VLOOKUP(G69,'参加チーム'!$B$5:$G$73,6,FALSE),2)</f>
        <v>福島</v>
      </c>
      <c r="H70" s="317"/>
      <c r="I70" s="281"/>
      <c r="J70" s="116"/>
      <c r="K70" s="302"/>
      <c r="L70" s="116"/>
      <c r="M70" s="281"/>
      <c r="N70" s="85" t="str">
        <f>LEFT(VLOOKUP(N69,'参加チーム'!$B$5:$G$73,6,FALSE),2)</f>
        <v>福島</v>
      </c>
      <c r="O70" s="317"/>
      <c r="P70" s="307"/>
      <c r="Q70" s="323"/>
      <c r="S70" s="20" t="str">
        <f>+"後"&amp;N69&amp;G69</f>
        <v>後ＣＦ</v>
      </c>
      <c r="T70" s="16">
        <f>+M69</f>
      </c>
      <c r="U70" s="16">
        <f>+I69</f>
      </c>
      <c r="V70" s="21">
        <f>+B65</f>
        <v>40427</v>
      </c>
      <c r="X70" s="117">
        <f t="shared" si="16"/>
        <v>9</v>
      </c>
      <c r="Y70" s="117">
        <f t="shared" si="17"/>
        <v>7</v>
      </c>
      <c r="Z70" s="117" t="str">
        <f t="shared" si="18"/>
        <v> 9/ 7</v>
      </c>
      <c r="AA70" s="117" t="str">
        <f t="shared" si="19"/>
        <v>△</v>
      </c>
      <c r="AB70" s="14">
        <f t="shared" si="21"/>
      </c>
      <c r="AC70" s="117" t="str">
        <f>+Z70&amp;" "&amp;AA70&amp;" "&amp;T70&amp;"-"&amp;U70&amp;" "&amp;H69</f>
        <v> 9/ 7 △ - volviendo</v>
      </c>
      <c r="AD70" s="14">
        <f>+L69</f>
        <v>0</v>
      </c>
      <c r="AE70" s="14">
        <f>+L70</f>
        <v>0</v>
      </c>
      <c r="AF70" s="14">
        <f>+J69</f>
        <v>0</v>
      </c>
      <c r="AG70" s="14">
        <f>+J70</f>
        <v>0</v>
      </c>
      <c r="AH70" s="121">
        <f t="shared" si="20"/>
        <v>40427</v>
      </c>
      <c r="AL70" s="164"/>
      <c r="AM70" s="165"/>
      <c r="AN70" s="165"/>
      <c r="AO70" s="165"/>
      <c r="AP70" s="164"/>
      <c r="AR70" s="165">
        <v>6</v>
      </c>
      <c r="AS70" s="165" t="s">
        <v>44</v>
      </c>
    </row>
    <row r="71" spans="1:45" ht="15.75" customHeight="1">
      <c r="A71" s="289"/>
      <c r="B71" s="292"/>
      <c r="C71" s="295"/>
      <c r="D71" s="297">
        <v>4</v>
      </c>
      <c r="E71" s="283">
        <v>0.6041666666666666</v>
      </c>
      <c r="F71" s="282">
        <v>0.6666666666666666</v>
      </c>
      <c r="G71" s="86" t="str">
        <f>VLOOKUP(D71,AL65:AP72,IF(VLOOKUP(D71,AL65:AP72,5,FALSE)=1,4,2),FALSE)</f>
        <v>Ｂ</v>
      </c>
      <c r="H71" s="319" t="str">
        <f>IF(G71&lt;&gt;"",VLOOKUP(G71,'参加チーム'!$B$5:$G$73,IF($N$2=1,4,5),FALSE),"")</f>
        <v>ヴォスクオーレ</v>
      </c>
      <c r="I71" s="304">
        <f>IF(J71&lt;&gt;"",J71+J72,"")</f>
      </c>
      <c r="J71" s="116"/>
      <c r="K71" s="303" t="s">
        <v>120</v>
      </c>
      <c r="L71" s="116"/>
      <c r="M71" s="304">
        <f>IF(L71&lt;&gt;"",L71+L72,"")</f>
      </c>
      <c r="N71" s="86" t="str">
        <f>VLOOKUP(D71,AL65:AP72,IF(VLOOKUP(D71,AL65:AP72,5,FALSE)=1,2,4),FALSE)</f>
        <v>H</v>
      </c>
      <c r="O71" s="319" t="str">
        <f>IF(N71&lt;&gt;"",VLOOKUP(N71,'参加チーム'!$B$5:$G$73,IF($N$2=1,4,5),FALSE),"")</f>
        <v>CROSS</v>
      </c>
      <c r="P71" s="325" t="str">
        <f>+O71</f>
        <v>CROSS</v>
      </c>
      <c r="Q71" s="323"/>
      <c r="S71" s="20" t="str">
        <f>+"後"&amp;G71&amp;N71</f>
        <v>後ＢH</v>
      </c>
      <c r="T71" s="16">
        <f>+I71</f>
      </c>
      <c r="U71" s="16">
        <f>+M71</f>
      </c>
      <c r="V71" s="21">
        <f>+B65</f>
        <v>40427</v>
      </c>
      <c r="X71" s="117">
        <f t="shared" si="16"/>
        <v>9</v>
      </c>
      <c r="Y71" s="117">
        <f t="shared" si="17"/>
        <v>7</v>
      </c>
      <c r="Z71" s="117" t="str">
        <f t="shared" si="18"/>
        <v> 9/ 7</v>
      </c>
      <c r="AA71" s="117" t="str">
        <f t="shared" si="19"/>
        <v>△</v>
      </c>
      <c r="AB71" s="14">
        <f>IF(T71&lt;&gt;"",H71,"")</f>
      </c>
      <c r="AC71" s="117" t="str">
        <f>+Z71&amp;" "&amp;AA71&amp;" "&amp;T71&amp;"-"&amp;U71&amp;" "&amp;O71</f>
        <v> 9/ 7 △ - CROSS</v>
      </c>
      <c r="AD71" s="14">
        <f>+J71</f>
        <v>0</v>
      </c>
      <c r="AE71" s="14">
        <f>+J72</f>
        <v>0</v>
      </c>
      <c r="AF71" s="14">
        <f>+L71</f>
        <v>0</v>
      </c>
      <c r="AG71" s="14">
        <f>+L72</f>
        <v>0</v>
      </c>
      <c r="AH71" s="121">
        <f t="shared" si="20"/>
        <v>40427</v>
      </c>
      <c r="AL71" s="164">
        <v>2</v>
      </c>
      <c r="AM71" s="165" t="str">
        <f>+AS68</f>
        <v>Ａ</v>
      </c>
      <c r="AN71" s="165"/>
      <c r="AO71" s="165" t="str">
        <f>+AS69</f>
        <v>Ｄ</v>
      </c>
      <c r="AP71" s="164"/>
      <c r="AR71" s="165">
        <v>7</v>
      </c>
      <c r="AS71" s="165" t="s">
        <v>43</v>
      </c>
    </row>
    <row r="72" spans="1:45" ht="15.75" customHeight="1" thickBot="1">
      <c r="A72" s="290"/>
      <c r="B72" s="293"/>
      <c r="C72" s="296"/>
      <c r="D72" s="298"/>
      <c r="E72" s="285"/>
      <c r="F72" s="287"/>
      <c r="G72" s="124" t="str">
        <f>LEFT(VLOOKUP(G71,'参加チーム'!$B$5:$G$73,6,FALSE),2)</f>
        <v>宮城</v>
      </c>
      <c r="H72" s="320"/>
      <c r="I72" s="305"/>
      <c r="J72" s="125"/>
      <c r="K72" s="321"/>
      <c r="L72" s="125"/>
      <c r="M72" s="305"/>
      <c r="N72" s="124" t="str">
        <f>LEFT(VLOOKUP(N71,'参加チーム'!$B$5:$G$73,6,FALSE),2)</f>
        <v>岩手</v>
      </c>
      <c r="O72" s="320"/>
      <c r="P72" s="315"/>
      <c r="Q72" s="324"/>
      <c r="S72" s="22" t="str">
        <f>+"後"&amp;N71&amp;G71</f>
        <v>後HＢ</v>
      </c>
      <c r="T72" s="23">
        <f>+M71</f>
      </c>
      <c r="U72" s="23">
        <f>+I71</f>
      </c>
      <c r="V72" s="24">
        <f>+B65</f>
        <v>40427</v>
      </c>
      <c r="X72" s="117">
        <f t="shared" si="16"/>
        <v>9</v>
      </c>
      <c r="Y72" s="117">
        <f t="shared" si="17"/>
        <v>7</v>
      </c>
      <c r="Z72" s="117" t="str">
        <f t="shared" si="18"/>
        <v> 9/ 7</v>
      </c>
      <c r="AA72" s="117" t="str">
        <f t="shared" si="19"/>
        <v>△</v>
      </c>
      <c r="AB72" s="14">
        <f t="shared" si="21"/>
      </c>
      <c r="AC72" s="117" t="str">
        <f>+Z72&amp;" "&amp;AA72&amp;" "&amp;T72&amp;"-"&amp;U72&amp;" "&amp;H71</f>
        <v> 9/ 7 △ - ヴォスクオーレ</v>
      </c>
      <c r="AD72" s="14">
        <f>+L71</f>
        <v>0</v>
      </c>
      <c r="AE72" s="14">
        <f>+L72</f>
        <v>0</v>
      </c>
      <c r="AF72" s="14">
        <f>+J71</f>
        <v>0</v>
      </c>
      <c r="AG72" s="14">
        <f>+J72</f>
        <v>0</v>
      </c>
      <c r="AH72" s="121">
        <f t="shared" si="20"/>
        <v>40427</v>
      </c>
      <c r="AL72" s="164"/>
      <c r="AM72" s="165"/>
      <c r="AN72" s="165"/>
      <c r="AO72" s="165"/>
      <c r="AP72" s="164"/>
      <c r="AR72" s="165">
        <v>8</v>
      </c>
      <c r="AS72" s="165" t="s">
        <v>117</v>
      </c>
    </row>
    <row r="73" spans="1:42" ht="15.75" customHeight="1">
      <c r="A73" s="288">
        <v>9</v>
      </c>
      <c r="B73" s="291">
        <v>40441</v>
      </c>
      <c r="C73" s="314" t="s">
        <v>87</v>
      </c>
      <c r="D73" s="308">
        <v>1</v>
      </c>
      <c r="E73" s="280">
        <v>0.3958333333333333</v>
      </c>
      <c r="F73" s="280">
        <v>0.4375</v>
      </c>
      <c r="G73" s="84" t="str">
        <f>VLOOKUP(D73,AL73:AP80,IF(VLOOKUP(D73,AL73:AP80,5,FALSE)=1,4,2),FALSE)</f>
        <v>Ｅ</v>
      </c>
      <c r="H73" s="318" t="str">
        <f>IF(G73&lt;&gt;"",VLOOKUP(G73,'参加チーム'!$B$5:$G$73,IF($N$2=1,4,5),FALSE),"")</f>
        <v>Sabedoria</v>
      </c>
      <c r="I73" s="300">
        <f>IF(J73&lt;&gt;"",J73+J74,"")</f>
      </c>
      <c r="J73" s="123"/>
      <c r="K73" s="301" t="s">
        <v>86</v>
      </c>
      <c r="L73" s="123"/>
      <c r="M73" s="300">
        <f>IF(L73&lt;&gt;"",L73+L74,"")</f>
      </c>
      <c r="N73" s="84" t="str">
        <f>VLOOKUP(D73,AL73:AP80,IF(VLOOKUP(D73,AL73:AP80,5,FALSE)=1,2,4),FALSE)</f>
        <v>Ａ</v>
      </c>
      <c r="O73" s="318" t="str">
        <f>IF(N73&lt;&gt;"",VLOOKUP(N73,'参加チーム'!$B$5:$G$73,IF($N$2=1,4,5),FALSE),"")</f>
        <v>BANFF</v>
      </c>
      <c r="P73" s="326" t="str">
        <f>+O73</f>
        <v>BANFF</v>
      </c>
      <c r="Q73" s="322" t="str">
        <f>+O79</f>
        <v>D-GUCCI</v>
      </c>
      <c r="S73" s="17" t="str">
        <f>+"後"&amp;G73&amp;N73</f>
        <v>後ＥＡ</v>
      </c>
      <c r="T73" s="18">
        <f>IF(I73&lt;&gt;"",I73,"")</f>
      </c>
      <c r="U73" s="18">
        <f>IF(M73&lt;&gt;"",M73,"")</f>
      </c>
      <c r="V73" s="19">
        <f>+B73</f>
        <v>40441</v>
      </c>
      <c r="X73" s="117">
        <f t="shared" si="16"/>
        <v>9</v>
      </c>
      <c r="Y73" s="117">
        <f t="shared" si="17"/>
        <v>21</v>
      </c>
      <c r="Z73" s="117" t="str">
        <f t="shared" si="18"/>
        <v> 9/21</v>
      </c>
      <c r="AA73" s="117" t="str">
        <f t="shared" si="19"/>
        <v>△</v>
      </c>
      <c r="AB73" s="14">
        <f>IF(T73&lt;&gt;"",H73,"")</f>
      </c>
      <c r="AC73" s="117" t="str">
        <f>+Z73&amp;" "&amp;AA73&amp;" "&amp;T73&amp;"-"&amp;U73&amp;" "&amp;O73</f>
        <v> 9/21 △ - BANFF</v>
      </c>
      <c r="AD73" s="14">
        <f>+J73</f>
        <v>0</v>
      </c>
      <c r="AE73" s="14">
        <f>+J74</f>
        <v>0</v>
      </c>
      <c r="AF73" s="14">
        <f>+L73</f>
        <v>0</v>
      </c>
      <c r="AG73" s="14">
        <f>+L74</f>
        <v>0</v>
      </c>
      <c r="AH73" s="121">
        <f t="shared" si="20"/>
        <v>40441</v>
      </c>
      <c r="AL73" s="164">
        <v>3</v>
      </c>
      <c r="AM73" s="166" t="str">
        <f>+AM65</f>
        <v>Ｂ</v>
      </c>
      <c r="AN73" s="166"/>
      <c r="AO73" s="166" t="str">
        <f>+AO67</f>
        <v>Ｃ</v>
      </c>
      <c r="AP73" s="164">
        <v>1</v>
      </c>
    </row>
    <row r="74" spans="1:42" ht="15.75" customHeight="1">
      <c r="A74" s="289"/>
      <c r="B74" s="292"/>
      <c r="C74" s="311"/>
      <c r="D74" s="309"/>
      <c r="E74" s="281"/>
      <c r="F74" s="286"/>
      <c r="G74" s="85" t="str">
        <f>LEFT(VLOOKUP(G73,'参加チーム'!$B$5:$G$73,6,FALSE),2)</f>
        <v>岩手</v>
      </c>
      <c r="H74" s="317"/>
      <c r="I74" s="281"/>
      <c r="J74" s="116"/>
      <c r="K74" s="302"/>
      <c r="L74" s="116"/>
      <c r="M74" s="281"/>
      <c r="N74" s="85" t="str">
        <f>LEFT(VLOOKUP(N73,'参加チーム'!$B$5:$G$73,6,FALSE),2)</f>
        <v>宮城</v>
      </c>
      <c r="O74" s="317"/>
      <c r="P74" s="307"/>
      <c r="Q74" s="323"/>
      <c r="S74" s="20" t="str">
        <f>+"後"&amp;N73&amp;G73</f>
        <v>後ＡＥ</v>
      </c>
      <c r="T74" s="16">
        <f>IF(M73&lt;&gt;"",M73,"")</f>
      </c>
      <c r="U74" s="16">
        <f>IF(I73&lt;&gt;"",I73,"")</f>
      </c>
      <c r="V74" s="21">
        <f>+B73</f>
        <v>40441</v>
      </c>
      <c r="X74" s="117">
        <f t="shared" si="16"/>
        <v>9</v>
      </c>
      <c r="Y74" s="117">
        <f t="shared" si="17"/>
        <v>21</v>
      </c>
      <c r="Z74" s="117" t="str">
        <f t="shared" si="18"/>
        <v> 9/21</v>
      </c>
      <c r="AA74" s="117" t="str">
        <f t="shared" si="19"/>
        <v>△</v>
      </c>
      <c r="AB74" s="14">
        <f aca="true" t="shared" si="22" ref="AB74:AB80">IF(T74&lt;&gt;"",O73,"")</f>
      </c>
      <c r="AC74" s="117" t="str">
        <f>+Z74&amp;" "&amp;AA74&amp;" "&amp;T74&amp;"-"&amp;U74&amp;" "&amp;H73</f>
        <v> 9/21 △ - Sabedoria</v>
      </c>
      <c r="AD74" s="14">
        <f>+L73</f>
        <v>0</v>
      </c>
      <c r="AE74" s="14">
        <f>+L74</f>
        <v>0</v>
      </c>
      <c r="AF74" s="14">
        <f>+J73</f>
        <v>0</v>
      </c>
      <c r="AG74" s="14">
        <f>+J74</f>
        <v>0</v>
      </c>
      <c r="AH74" s="121">
        <f t="shared" si="20"/>
        <v>40441</v>
      </c>
      <c r="AL74" s="164"/>
      <c r="AM74" s="166"/>
      <c r="AN74" s="166"/>
      <c r="AO74" s="166"/>
      <c r="AP74" s="164"/>
    </row>
    <row r="75" spans="1:42" ht="15.75" customHeight="1">
      <c r="A75" s="289"/>
      <c r="B75" s="292"/>
      <c r="C75" s="311"/>
      <c r="D75" s="297">
        <v>2</v>
      </c>
      <c r="E75" s="282">
        <v>0.45138888888888895</v>
      </c>
      <c r="F75" s="282">
        <v>0.513888888888889</v>
      </c>
      <c r="G75" s="86" t="str">
        <f>VLOOKUP(D75,AL73:AP80,IF(VLOOKUP(D75,AL73:AP80,5,FALSE)=1,4,2),FALSE)</f>
        <v>H</v>
      </c>
      <c r="H75" s="316" t="str">
        <f>IF(G75&lt;&gt;"",VLOOKUP(G75,'参加チーム'!$B$5:$G$73,IF($N$2=1,4,5),FALSE),"")</f>
        <v>CROSS</v>
      </c>
      <c r="I75" s="304">
        <f>IF(J75&lt;&gt;"",J75+J76,"")</f>
      </c>
      <c r="J75" s="116"/>
      <c r="K75" s="303" t="s">
        <v>120</v>
      </c>
      <c r="L75" s="116"/>
      <c r="M75" s="304">
        <f>IF(L75&lt;&gt;"",L75+L76,"")</f>
      </c>
      <c r="N75" s="86" t="str">
        <f>VLOOKUP(D75,AL73:AP80,IF(VLOOKUP(D75,AL73:AP80,5,FALSE)=1,2,4),FALSE)</f>
        <v>Ｆ</v>
      </c>
      <c r="O75" s="316" t="str">
        <f>IF(N75&lt;&gt;"",VLOOKUP(N75,'参加チーム'!$B$5:$G$73,IF($N$2=1,4,5),FALSE),"")</f>
        <v>volviendo</v>
      </c>
      <c r="P75" s="325" t="str">
        <f>+O75</f>
        <v>volviendo</v>
      </c>
      <c r="Q75" s="323"/>
      <c r="S75" s="20" t="str">
        <f>+"後"&amp;G75&amp;N75</f>
        <v>後HＦ</v>
      </c>
      <c r="T75" s="16">
        <f>+I75</f>
      </c>
      <c r="U75" s="16">
        <f>+M75</f>
      </c>
      <c r="V75" s="21">
        <f>+B73</f>
        <v>40441</v>
      </c>
      <c r="X75" s="117">
        <f t="shared" si="16"/>
        <v>9</v>
      </c>
      <c r="Y75" s="117">
        <f t="shared" si="17"/>
        <v>21</v>
      </c>
      <c r="Z75" s="117" t="str">
        <f t="shared" si="18"/>
        <v> 9/21</v>
      </c>
      <c r="AA75" s="117" t="str">
        <f t="shared" si="19"/>
        <v>△</v>
      </c>
      <c r="AB75" s="14">
        <f>IF(T75&lt;&gt;"",H75,"")</f>
      </c>
      <c r="AC75" s="117" t="str">
        <f>+Z75&amp;" "&amp;AA75&amp;" "&amp;T75&amp;"-"&amp;U75&amp;" "&amp;O75</f>
        <v> 9/21 △ - volviendo</v>
      </c>
      <c r="AD75" s="14">
        <f>+J75</f>
        <v>0</v>
      </c>
      <c r="AE75" s="14">
        <f>+J76</f>
        <v>0</v>
      </c>
      <c r="AF75" s="14">
        <f>+L75</f>
        <v>0</v>
      </c>
      <c r="AG75" s="14">
        <f>+L76</f>
        <v>0</v>
      </c>
      <c r="AH75" s="121">
        <f t="shared" si="20"/>
        <v>40441</v>
      </c>
      <c r="AL75" s="164">
        <v>2</v>
      </c>
      <c r="AM75" s="166" t="str">
        <f>+AM67</f>
        <v>Ｆ</v>
      </c>
      <c r="AN75" s="166"/>
      <c r="AO75" s="166" t="str">
        <f>+AO65</f>
        <v>H</v>
      </c>
      <c r="AP75" s="164">
        <v>1</v>
      </c>
    </row>
    <row r="76" spans="1:42" ht="15.75" customHeight="1">
      <c r="A76" s="289"/>
      <c r="B76" s="292"/>
      <c r="C76" s="294" t="s">
        <v>134</v>
      </c>
      <c r="D76" s="309"/>
      <c r="E76" s="281"/>
      <c r="F76" s="286"/>
      <c r="G76" s="85" t="str">
        <f>LEFT(VLOOKUP(G75,'参加チーム'!$B$5:$G$73,6,FALSE),2)</f>
        <v>岩手</v>
      </c>
      <c r="H76" s="317"/>
      <c r="I76" s="281"/>
      <c r="J76" s="116"/>
      <c r="K76" s="302"/>
      <c r="L76" s="116"/>
      <c r="M76" s="281"/>
      <c r="N76" s="85" t="str">
        <f>LEFT(VLOOKUP(N75,'参加チーム'!$B$5:$G$73,6,FALSE),2)</f>
        <v>福島</v>
      </c>
      <c r="O76" s="317"/>
      <c r="P76" s="307"/>
      <c r="Q76" s="323"/>
      <c r="S76" s="20" t="str">
        <f>+"後"&amp;N75&amp;G75</f>
        <v>後ＦH</v>
      </c>
      <c r="T76" s="16">
        <f>+M75</f>
      </c>
      <c r="U76" s="16">
        <f>+I75</f>
      </c>
      <c r="V76" s="21">
        <f>+B73</f>
        <v>40441</v>
      </c>
      <c r="X76" s="117">
        <f t="shared" si="16"/>
        <v>9</v>
      </c>
      <c r="Y76" s="117">
        <f t="shared" si="17"/>
        <v>21</v>
      </c>
      <c r="Z76" s="117" t="str">
        <f t="shared" si="18"/>
        <v> 9/21</v>
      </c>
      <c r="AA76" s="117" t="str">
        <f t="shared" si="19"/>
        <v>△</v>
      </c>
      <c r="AB76" s="14">
        <f t="shared" si="22"/>
      </c>
      <c r="AC76" s="117" t="str">
        <f>+Z76&amp;" "&amp;AA76&amp;" "&amp;T76&amp;"-"&amp;U76&amp;" "&amp;H75</f>
        <v> 9/21 △ - CROSS</v>
      </c>
      <c r="AD76" s="14">
        <f>+L75</f>
        <v>0</v>
      </c>
      <c r="AE76" s="14">
        <f>+L76</f>
        <v>0</v>
      </c>
      <c r="AF76" s="14">
        <f>+J75</f>
        <v>0</v>
      </c>
      <c r="AG76" s="14">
        <f>+J76</f>
        <v>0</v>
      </c>
      <c r="AH76" s="121">
        <f t="shared" si="20"/>
        <v>40441</v>
      </c>
      <c r="AL76" s="164"/>
      <c r="AM76" s="166"/>
      <c r="AN76" s="166"/>
      <c r="AO76" s="166"/>
      <c r="AP76" s="164"/>
    </row>
    <row r="77" spans="1:42" ht="15.75" customHeight="1">
      <c r="A77" s="289"/>
      <c r="B77" s="292"/>
      <c r="C77" s="295"/>
      <c r="D77" s="304">
        <v>3</v>
      </c>
      <c r="E77" s="283">
        <v>0.5277777777777778</v>
      </c>
      <c r="F77" s="282">
        <v>0.5902777777777778</v>
      </c>
      <c r="G77" s="86" t="str">
        <f>VLOOKUP(D77,AL73:AP80,IF(VLOOKUP(D77,AL73:AP80,5,FALSE)=1,4,2),FALSE)</f>
        <v>Ｃ</v>
      </c>
      <c r="H77" s="316" t="str">
        <f>IF(G77&lt;&gt;"",VLOOKUP(G77,'参加チーム'!$B$5:$G$73,IF($N$2=1,4,5),FALSE),"")</f>
        <v>かちかち山</v>
      </c>
      <c r="I77" s="304">
        <f>IF(J77&lt;&gt;"",J77+J78,"")</f>
      </c>
      <c r="J77" s="116"/>
      <c r="K77" s="303" t="s">
        <v>120</v>
      </c>
      <c r="L77" s="116"/>
      <c r="M77" s="304">
        <f>IF(L77&lt;&gt;"",L77+L78,"")</f>
      </c>
      <c r="N77" s="86" t="str">
        <f>VLOOKUP(D77,AL73:AP80,IF(VLOOKUP(D77,AL73:AP80,5,FALSE)=1,2,4),FALSE)</f>
        <v>Ｂ</v>
      </c>
      <c r="O77" s="316" t="str">
        <f>IF(N77&lt;&gt;"",VLOOKUP(N77,'参加チーム'!$B$5:$G$73,IF($N$2=1,4,5),FALSE),"")</f>
        <v>ヴォスクオーレ</v>
      </c>
      <c r="P77" s="325" t="str">
        <f>+O77</f>
        <v>ヴォスクオーレ</v>
      </c>
      <c r="Q77" s="323"/>
      <c r="S77" s="20" t="str">
        <f>+"後"&amp;G77&amp;N77</f>
        <v>後ＣＢ</v>
      </c>
      <c r="T77" s="16">
        <f>+I77</f>
      </c>
      <c r="U77" s="16">
        <f>+M77</f>
      </c>
      <c r="V77" s="21">
        <f>+B73</f>
        <v>40441</v>
      </c>
      <c r="X77" s="117">
        <f t="shared" si="16"/>
        <v>9</v>
      </c>
      <c r="Y77" s="117">
        <f t="shared" si="17"/>
        <v>21</v>
      </c>
      <c r="Z77" s="117" t="str">
        <f t="shared" si="18"/>
        <v> 9/21</v>
      </c>
      <c r="AA77" s="117" t="str">
        <f t="shared" si="19"/>
        <v>△</v>
      </c>
      <c r="AB77" s="14">
        <f>IF(T77&lt;&gt;"",H77,"")</f>
      </c>
      <c r="AC77" s="117" t="str">
        <f>+Z77&amp;" "&amp;AA77&amp;" "&amp;T77&amp;"-"&amp;U77&amp;" "&amp;O77</f>
        <v> 9/21 △ - ヴォスクオーレ</v>
      </c>
      <c r="AD77" s="14">
        <f>+J77</f>
        <v>0</v>
      </c>
      <c r="AE77" s="14">
        <f>+J78</f>
        <v>0</v>
      </c>
      <c r="AF77" s="14">
        <f>+L77</f>
        <v>0</v>
      </c>
      <c r="AG77" s="14">
        <f>+L78</f>
        <v>0</v>
      </c>
      <c r="AH77" s="121">
        <f t="shared" si="20"/>
        <v>40441</v>
      </c>
      <c r="AL77" s="164">
        <v>4</v>
      </c>
      <c r="AM77" s="166" t="str">
        <f>+AM69</f>
        <v>G</v>
      </c>
      <c r="AN77" s="166"/>
      <c r="AO77" s="166" t="str">
        <f>+AO71</f>
        <v>Ｄ</v>
      </c>
      <c r="AP77" s="164">
        <v>1</v>
      </c>
    </row>
    <row r="78" spans="1:42" ht="15.75" customHeight="1">
      <c r="A78" s="289"/>
      <c r="B78" s="292"/>
      <c r="C78" s="295"/>
      <c r="D78" s="281"/>
      <c r="E78" s="284"/>
      <c r="F78" s="286"/>
      <c r="G78" s="85" t="str">
        <f>LEFT(VLOOKUP(G77,'参加チーム'!$B$5:$G$73,6,FALSE),2)</f>
        <v>福島</v>
      </c>
      <c r="H78" s="317"/>
      <c r="I78" s="281"/>
      <c r="J78" s="116"/>
      <c r="K78" s="302"/>
      <c r="L78" s="116"/>
      <c r="M78" s="281"/>
      <c r="N78" s="85" t="str">
        <f>LEFT(VLOOKUP(N77,'参加チーム'!$B$5:$G$73,6,FALSE),2)</f>
        <v>宮城</v>
      </c>
      <c r="O78" s="317"/>
      <c r="P78" s="307"/>
      <c r="Q78" s="323"/>
      <c r="S78" s="20" t="str">
        <f>+"後"&amp;N77&amp;G77</f>
        <v>後ＢＣ</v>
      </c>
      <c r="T78" s="16">
        <f>+M77</f>
      </c>
      <c r="U78" s="16">
        <f>+I77</f>
      </c>
      <c r="V78" s="21">
        <f>+B73</f>
        <v>40441</v>
      </c>
      <c r="X78" s="117">
        <f t="shared" si="16"/>
        <v>9</v>
      </c>
      <c r="Y78" s="117">
        <f t="shared" si="17"/>
        <v>21</v>
      </c>
      <c r="Z78" s="117" t="str">
        <f t="shared" si="18"/>
        <v> 9/21</v>
      </c>
      <c r="AA78" s="117" t="str">
        <f t="shared" si="19"/>
        <v>△</v>
      </c>
      <c r="AB78" s="14">
        <f t="shared" si="22"/>
      </c>
      <c r="AC78" s="117" t="str">
        <f>+Z78&amp;" "&amp;AA78&amp;" "&amp;T78&amp;"-"&amp;U78&amp;" "&amp;H77</f>
        <v> 9/21 △ - かちかち山</v>
      </c>
      <c r="AD78" s="14">
        <f>+L77</f>
        <v>0</v>
      </c>
      <c r="AE78" s="14">
        <f>+L78</f>
        <v>0</v>
      </c>
      <c r="AF78" s="14">
        <f>+J77</f>
        <v>0</v>
      </c>
      <c r="AG78" s="14">
        <f>+J78</f>
        <v>0</v>
      </c>
      <c r="AH78" s="121">
        <f t="shared" si="20"/>
        <v>40441</v>
      </c>
      <c r="AL78" s="164"/>
      <c r="AM78" s="166"/>
      <c r="AN78" s="166"/>
      <c r="AO78" s="166"/>
      <c r="AP78" s="164"/>
    </row>
    <row r="79" spans="1:42" ht="15.75" customHeight="1">
      <c r="A79" s="289"/>
      <c r="B79" s="292"/>
      <c r="C79" s="295"/>
      <c r="D79" s="297">
        <v>4</v>
      </c>
      <c r="E79" s="283">
        <v>0.6041666666666666</v>
      </c>
      <c r="F79" s="282">
        <v>0.6666666666666666</v>
      </c>
      <c r="G79" s="86" t="str">
        <f>VLOOKUP(D79,AL73:AP80,IF(VLOOKUP(D79,AL73:AP80,5,FALSE)=1,4,2),FALSE)</f>
        <v>Ｄ</v>
      </c>
      <c r="H79" s="319" t="str">
        <f>IF(G79&lt;&gt;"",VLOOKUP(G79,'参加チーム'!$B$5:$G$73,IF($N$2=1,4,5),FALSE),"")</f>
        <v>malva</v>
      </c>
      <c r="I79" s="304">
        <f>IF(J79&lt;&gt;"",J79+J80,"")</f>
      </c>
      <c r="J79" s="116"/>
      <c r="K79" s="303" t="s">
        <v>120</v>
      </c>
      <c r="L79" s="116"/>
      <c r="M79" s="304">
        <f>IF(L79&lt;&gt;"",L79+L80,"")</f>
      </c>
      <c r="N79" s="86" t="str">
        <f>VLOOKUP(D79,AL73:AP80,IF(VLOOKUP(D79,AL73:AP80,5,FALSE)=1,2,4),FALSE)</f>
        <v>G</v>
      </c>
      <c r="O79" s="319" t="str">
        <f>IF(N79&lt;&gt;"",VLOOKUP(N79,'参加チーム'!$B$5:$G$73,IF($N$2=1,4,5),FALSE),"")</f>
        <v>D-GUCCI</v>
      </c>
      <c r="P79" s="325" t="str">
        <f>+O79</f>
        <v>D-GUCCI</v>
      </c>
      <c r="Q79" s="323"/>
      <c r="S79" s="20" t="str">
        <f>+"後"&amp;G79&amp;N79</f>
        <v>後ＤG</v>
      </c>
      <c r="T79" s="16">
        <f>+I79</f>
      </c>
      <c r="U79" s="16">
        <f>+M79</f>
      </c>
      <c r="V79" s="21">
        <f>+B73</f>
        <v>40441</v>
      </c>
      <c r="X79" s="117">
        <f t="shared" si="16"/>
        <v>9</v>
      </c>
      <c r="Y79" s="117">
        <f t="shared" si="17"/>
        <v>21</v>
      </c>
      <c r="Z79" s="117" t="str">
        <f t="shared" si="18"/>
        <v> 9/21</v>
      </c>
      <c r="AA79" s="117" t="str">
        <f t="shared" si="19"/>
        <v>△</v>
      </c>
      <c r="AB79" s="14">
        <f>IF(T79&lt;&gt;"",H79,"")</f>
      </c>
      <c r="AC79" s="117" t="str">
        <f>+Z79&amp;" "&amp;AA79&amp;" "&amp;T79&amp;"-"&amp;U79&amp;" "&amp;O79</f>
        <v> 9/21 △ - D-GUCCI</v>
      </c>
      <c r="AD79" s="14">
        <f>+J79</f>
        <v>0</v>
      </c>
      <c r="AE79" s="14">
        <f>+J80</f>
        <v>0</v>
      </c>
      <c r="AF79" s="14">
        <f>+L79</f>
        <v>0</v>
      </c>
      <c r="AG79" s="14">
        <f>+L80</f>
        <v>0</v>
      </c>
      <c r="AH79" s="121">
        <f t="shared" si="20"/>
        <v>40441</v>
      </c>
      <c r="AL79" s="164">
        <v>1</v>
      </c>
      <c r="AM79" s="166" t="str">
        <f>+AM71</f>
        <v>Ａ</v>
      </c>
      <c r="AN79" s="166"/>
      <c r="AO79" s="166" t="str">
        <f>+AO69</f>
        <v>Ｅ</v>
      </c>
      <c r="AP79" s="164">
        <v>1</v>
      </c>
    </row>
    <row r="80" spans="1:42" ht="15.75" customHeight="1" thickBot="1">
      <c r="A80" s="290"/>
      <c r="B80" s="293"/>
      <c r="C80" s="296"/>
      <c r="D80" s="298"/>
      <c r="E80" s="285"/>
      <c r="F80" s="287"/>
      <c r="G80" s="124" t="str">
        <f>LEFT(VLOOKUP(G79,'参加チーム'!$B$5:$G$73,6,FALSE),2)</f>
        <v>山形</v>
      </c>
      <c r="H80" s="320"/>
      <c r="I80" s="305"/>
      <c r="J80" s="125"/>
      <c r="K80" s="321"/>
      <c r="L80" s="125"/>
      <c r="M80" s="305"/>
      <c r="N80" s="124" t="str">
        <f>LEFT(VLOOKUP(N79,'参加チーム'!$B$5:$G$73,6,FALSE),2)</f>
        <v>宮城</v>
      </c>
      <c r="O80" s="320"/>
      <c r="P80" s="315"/>
      <c r="Q80" s="324"/>
      <c r="S80" s="22" t="str">
        <f>+"後"&amp;N79&amp;G79</f>
        <v>後GＤ</v>
      </c>
      <c r="T80" s="23">
        <f>+M79</f>
      </c>
      <c r="U80" s="23">
        <f>+I79</f>
      </c>
      <c r="V80" s="24">
        <f>+B73</f>
        <v>40441</v>
      </c>
      <c r="X80" s="117">
        <f t="shared" si="16"/>
        <v>9</v>
      </c>
      <c r="Y80" s="117">
        <f t="shared" si="17"/>
        <v>21</v>
      </c>
      <c r="Z80" s="117" t="str">
        <f t="shared" si="18"/>
        <v> 9/21</v>
      </c>
      <c r="AA80" s="117" t="str">
        <f t="shared" si="19"/>
        <v>△</v>
      </c>
      <c r="AB80" s="14">
        <f t="shared" si="22"/>
      </c>
      <c r="AC80" s="117" t="str">
        <f>+Z80&amp;" "&amp;AA80&amp;" "&amp;T80&amp;"-"&amp;U80&amp;" "&amp;H79</f>
        <v> 9/21 △ - malva</v>
      </c>
      <c r="AD80" s="14">
        <f>+L79</f>
        <v>0</v>
      </c>
      <c r="AE80" s="14">
        <f>+L80</f>
        <v>0</v>
      </c>
      <c r="AF80" s="14">
        <f>+J79</f>
        <v>0</v>
      </c>
      <c r="AG80" s="14">
        <f>+J80</f>
        <v>0</v>
      </c>
      <c r="AH80" s="121">
        <f t="shared" si="20"/>
        <v>40441</v>
      </c>
      <c r="AL80" s="164"/>
      <c r="AM80" s="166"/>
      <c r="AN80" s="166"/>
      <c r="AO80" s="166"/>
      <c r="AP80" s="164"/>
    </row>
    <row r="81" spans="1:42" ht="15.75" customHeight="1">
      <c r="A81" s="288">
        <v>10</v>
      </c>
      <c r="B81" s="291">
        <v>40455</v>
      </c>
      <c r="C81" s="314" t="s">
        <v>57</v>
      </c>
      <c r="D81" s="308">
        <v>1</v>
      </c>
      <c r="E81" s="280">
        <v>0.3958333333333333</v>
      </c>
      <c r="F81" s="280">
        <v>0.4375</v>
      </c>
      <c r="G81" s="84" t="str">
        <f>VLOOKUP(D81,AL81:AP88,IF(VLOOKUP(D81,AL81:AP88,5,FALSE)=1,4,2),FALSE)</f>
        <v>Ｂ</v>
      </c>
      <c r="H81" s="318" t="str">
        <f>IF(G81&lt;&gt;"",VLOOKUP(G81,'参加チーム'!$B$5:$G$73,IF($N$2=1,4,5),FALSE),"")</f>
        <v>ヴォスクオーレ</v>
      </c>
      <c r="I81" s="300">
        <f>IF(J81&lt;&gt;"",J81+J82,"")</f>
      </c>
      <c r="J81" s="123"/>
      <c r="K81" s="301" t="s">
        <v>86</v>
      </c>
      <c r="L81" s="123"/>
      <c r="M81" s="300">
        <f>IF(L81&lt;&gt;"",L81+L82,"")</f>
      </c>
      <c r="N81" s="84" t="str">
        <f>VLOOKUP(D81,AL81:AP88,IF(VLOOKUP(D81,AL81:AP88,5,FALSE)=1,2,4),FALSE)</f>
        <v>Ｅ</v>
      </c>
      <c r="O81" s="318" t="str">
        <f>IF(N81&lt;&gt;"",VLOOKUP(N81,'参加チーム'!$B$5:$G$73,IF($N$2=1,4,5),FALSE),"")</f>
        <v>Sabedoria</v>
      </c>
      <c r="P81" s="326" t="str">
        <f>+O81</f>
        <v>Sabedoria</v>
      </c>
      <c r="Q81" s="322" t="str">
        <f>+O87</f>
        <v>CROSS</v>
      </c>
      <c r="S81" s="17" t="str">
        <f>+"後"&amp;G81&amp;N81</f>
        <v>後ＢＥ</v>
      </c>
      <c r="T81" s="18">
        <f>IF(I81&lt;&gt;"",I81,"")</f>
      </c>
      <c r="U81" s="18">
        <f>IF(M81&lt;&gt;"",M81,"")</f>
      </c>
      <c r="V81" s="19">
        <f>+B81</f>
        <v>40455</v>
      </c>
      <c r="X81" s="117">
        <f t="shared" si="16"/>
        <v>10</v>
      </c>
      <c r="Y81" s="117">
        <f t="shared" si="17"/>
        <v>5</v>
      </c>
      <c r="Z81" s="117" t="str">
        <f t="shared" si="18"/>
        <v>10/ 5</v>
      </c>
      <c r="AA81" s="117" t="str">
        <f t="shared" si="19"/>
        <v>△</v>
      </c>
      <c r="AB81" s="14">
        <f>IF(T81&lt;&gt;"",H81,"")</f>
      </c>
      <c r="AC81" s="117" t="str">
        <f>+Z81&amp;" "&amp;AA81&amp;" "&amp;T81&amp;"-"&amp;U81&amp;" "&amp;O81</f>
        <v>10/ 5 △ - Sabedoria</v>
      </c>
      <c r="AD81" s="14">
        <f>+J81</f>
        <v>0</v>
      </c>
      <c r="AE81" s="14">
        <f>+J82</f>
        <v>0</v>
      </c>
      <c r="AF81" s="14">
        <f>+L81</f>
        <v>0</v>
      </c>
      <c r="AG81" s="14">
        <f>+L82</f>
        <v>0</v>
      </c>
      <c r="AH81" s="121">
        <f t="shared" si="20"/>
        <v>40455</v>
      </c>
      <c r="AL81" s="164">
        <v>4</v>
      </c>
      <c r="AM81" s="167" t="str">
        <f>+AM69</f>
        <v>G</v>
      </c>
      <c r="AN81" s="167"/>
      <c r="AO81" s="167" t="str">
        <f>+AO65</f>
        <v>H</v>
      </c>
      <c r="AP81" s="164"/>
    </row>
    <row r="82" spans="1:42" ht="15.75" customHeight="1">
      <c r="A82" s="289"/>
      <c r="B82" s="292"/>
      <c r="C82" s="311"/>
      <c r="D82" s="309"/>
      <c r="E82" s="281"/>
      <c r="F82" s="286"/>
      <c r="G82" s="85" t="str">
        <f>LEFT(VLOOKUP(G81,'参加チーム'!$B$5:$G$73,6,FALSE),2)</f>
        <v>宮城</v>
      </c>
      <c r="H82" s="317"/>
      <c r="I82" s="281"/>
      <c r="J82" s="116"/>
      <c r="K82" s="302"/>
      <c r="L82" s="116"/>
      <c r="M82" s="281"/>
      <c r="N82" s="85" t="str">
        <f>LEFT(VLOOKUP(N81,'参加チーム'!$B$5:$G$73,6,FALSE),2)</f>
        <v>岩手</v>
      </c>
      <c r="O82" s="317"/>
      <c r="P82" s="307"/>
      <c r="Q82" s="323"/>
      <c r="S82" s="20" t="str">
        <f>+"後"&amp;N81&amp;G81</f>
        <v>後ＥＢ</v>
      </c>
      <c r="T82" s="16">
        <f>IF(M81&lt;&gt;"",M81,"")</f>
      </c>
      <c r="U82" s="16">
        <f>IF(I81&lt;&gt;"",I81,"")</f>
      </c>
      <c r="V82" s="21">
        <f>+B81</f>
        <v>40455</v>
      </c>
      <c r="X82" s="117">
        <f t="shared" si="16"/>
        <v>10</v>
      </c>
      <c r="Y82" s="117">
        <f t="shared" si="17"/>
        <v>5</v>
      </c>
      <c r="Z82" s="117" t="str">
        <f t="shared" si="18"/>
        <v>10/ 5</v>
      </c>
      <c r="AA82" s="117" t="str">
        <f t="shared" si="19"/>
        <v>△</v>
      </c>
      <c r="AB82" s="14">
        <f>IF(T82&lt;&gt;"",O81,"")</f>
      </c>
      <c r="AC82" s="117" t="str">
        <f>+Z82&amp;" "&amp;AA82&amp;" "&amp;T82&amp;"-"&amp;U82&amp;" "&amp;H81</f>
        <v>10/ 5 △ - ヴォスクオーレ</v>
      </c>
      <c r="AD82" s="14">
        <f>+L81</f>
        <v>0</v>
      </c>
      <c r="AE82" s="14">
        <f>+L82</f>
        <v>0</v>
      </c>
      <c r="AF82" s="14">
        <f>+J81</f>
        <v>0</v>
      </c>
      <c r="AG82" s="14">
        <f>+J82</f>
        <v>0</v>
      </c>
      <c r="AH82" s="121">
        <f t="shared" si="20"/>
        <v>40455</v>
      </c>
      <c r="AL82" s="164"/>
      <c r="AM82" s="167"/>
      <c r="AN82" s="167"/>
      <c r="AO82" s="167"/>
      <c r="AP82" s="164"/>
    </row>
    <row r="83" spans="1:42" ht="15.75" customHeight="1">
      <c r="A83" s="289"/>
      <c r="B83" s="292"/>
      <c r="C83" s="311"/>
      <c r="D83" s="297">
        <v>2</v>
      </c>
      <c r="E83" s="282">
        <v>0.45138888888888895</v>
      </c>
      <c r="F83" s="282">
        <v>0.513888888888889</v>
      </c>
      <c r="G83" s="86" t="str">
        <f>VLOOKUP(D83,AL81:AP88,IF(VLOOKUP(D83,AL81:AP88,5,FALSE)=1,4,2),FALSE)</f>
        <v>Ｆ</v>
      </c>
      <c r="H83" s="316" t="str">
        <f>IF(G83&lt;&gt;"",VLOOKUP(G83,'参加チーム'!$B$5:$G$73,IF($N$2=1,4,5),FALSE),"")</f>
        <v>volviendo</v>
      </c>
      <c r="I83" s="304">
        <f>IF(J83&lt;&gt;"",J83+J84,"")</f>
      </c>
      <c r="J83" s="116"/>
      <c r="K83" s="303" t="s">
        <v>120</v>
      </c>
      <c r="L83" s="116"/>
      <c r="M83" s="304">
        <f>IF(L83&lt;&gt;"",L83+L84,"")</f>
      </c>
      <c r="N83" s="86" t="str">
        <f>VLOOKUP(D83,AL81:AP88,IF(VLOOKUP(D83,AL81:AP88,5,FALSE)=1,2,4),FALSE)</f>
        <v>Ｄ</v>
      </c>
      <c r="O83" s="316" t="str">
        <f>IF(N83&lt;&gt;"",VLOOKUP(N83,'参加チーム'!$B$5:$G$73,IF($N$2=1,4,5),FALSE),"")</f>
        <v>malva</v>
      </c>
      <c r="P83" s="325" t="str">
        <f>+O83</f>
        <v>malva</v>
      </c>
      <c r="Q83" s="323"/>
      <c r="S83" s="20" t="str">
        <f>+"後"&amp;G83&amp;N83</f>
        <v>後ＦＤ</v>
      </c>
      <c r="T83" s="16">
        <f>+I83</f>
      </c>
      <c r="U83" s="16">
        <f>+M83</f>
      </c>
      <c r="V83" s="21">
        <f>+B81</f>
        <v>40455</v>
      </c>
      <c r="X83" s="117">
        <f t="shared" si="16"/>
        <v>10</v>
      </c>
      <c r="Y83" s="117">
        <f t="shared" si="17"/>
        <v>5</v>
      </c>
      <c r="Z83" s="117" t="str">
        <f t="shared" si="18"/>
        <v>10/ 5</v>
      </c>
      <c r="AA83" s="117" t="str">
        <f t="shared" si="19"/>
        <v>△</v>
      </c>
      <c r="AB83" s="14">
        <f>IF(T83&lt;&gt;"",H83,"")</f>
      </c>
      <c r="AC83" s="117" t="str">
        <f>+Z83&amp;" "&amp;AA83&amp;" "&amp;T83&amp;"-"&amp;U83&amp;" "&amp;O83</f>
        <v>10/ 5 △ - malva</v>
      </c>
      <c r="AD83" s="14">
        <f>+J83</f>
        <v>0</v>
      </c>
      <c r="AE83" s="14">
        <f>+J84</f>
        <v>0</v>
      </c>
      <c r="AF83" s="14">
        <f>+L83</f>
        <v>0</v>
      </c>
      <c r="AG83" s="14">
        <f>+L84</f>
        <v>0</v>
      </c>
      <c r="AH83" s="121">
        <f t="shared" si="20"/>
        <v>40455</v>
      </c>
      <c r="AL83" s="164">
        <v>3</v>
      </c>
      <c r="AM83" s="167" t="str">
        <f>+AM71</f>
        <v>Ａ</v>
      </c>
      <c r="AN83" s="167"/>
      <c r="AO83" s="167" t="str">
        <f>+AO67</f>
        <v>Ｃ</v>
      </c>
      <c r="AP83" s="164"/>
    </row>
    <row r="84" spans="1:42" ht="15.75" customHeight="1">
      <c r="A84" s="289"/>
      <c r="B84" s="292"/>
      <c r="C84" s="294" t="s">
        <v>230</v>
      </c>
      <c r="D84" s="309"/>
      <c r="E84" s="281"/>
      <c r="F84" s="286"/>
      <c r="G84" s="85" t="str">
        <f>LEFT(VLOOKUP(G83,'参加チーム'!$B$5:$G$73,6,FALSE),2)</f>
        <v>福島</v>
      </c>
      <c r="H84" s="317"/>
      <c r="I84" s="281"/>
      <c r="J84" s="116"/>
      <c r="K84" s="302"/>
      <c r="L84" s="116"/>
      <c r="M84" s="281"/>
      <c r="N84" s="85" t="str">
        <f>LEFT(VLOOKUP(N83,'参加チーム'!$B$5:$G$73,6,FALSE),2)</f>
        <v>山形</v>
      </c>
      <c r="O84" s="317"/>
      <c r="P84" s="307"/>
      <c r="Q84" s="323"/>
      <c r="S84" s="20" t="str">
        <f>+"後"&amp;N83&amp;G83</f>
        <v>後ＤＦ</v>
      </c>
      <c r="T84" s="16">
        <f>+M83</f>
      </c>
      <c r="U84" s="16">
        <f>+I83</f>
      </c>
      <c r="V84" s="21">
        <f>+B81</f>
        <v>40455</v>
      </c>
      <c r="X84" s="117">
        <f t="shared" si="16"/>
        <v>10</v>
      </c>
      <c r="Y84" s="117">
        <f t="shared" si="17"/>
        <v>5</v>
      </c>
      <c r="Z84" s="117" t="str">
        <f t="shared" si="18"/>
        <v>10/ 5</v>
      </c>
      <c r="AA84" s="117" t="str">
        <f t="shared" si="19"/>
        <v>△</v>
      </c>
      <c r="AB84" s="14">
        <f>IF(T84&lt;&gt;"",O83,"")</f>
      </c>
      <c r="AC84" s="117" t="str">
        <f>+Z84&amp;" "&amp;AA84&amp;" "&amp;T84&amp;"-"&amp;U84&amp;" "&amp;H83</f>
        <v>10/ 5 △ - volviendo</v>
      </c>
      <c r="AD84" s="14">
        <f>+L83</f>
        <v>0</v>
      </c>
      <c r="AE84" s="14">
        <f>+L84</f>
        <v>0</v>
      </c>
      <c r="AF84" s="14">
        <f>+J83</f>
        <v>0</v>
      </c>
      <c r="AG84" s="14">
        <f>+J84</f>
        <v>0</v>
      </c>
      <c r="AH84" s="121">
        <f t="shared" si="20"/>
        <v>40455</v>
      </c>
      <c r="AL84" s="164"/>
      <c r="AM84" s="167"/>
      <c r="AN84" s="167"/>
      <c r="AO84" s="167"/>
      <c r="AP84" s="164"/>
    </row>
    <row r="85" spans="1:42" ht="15.75" customHeight="1">
      <c r="A85" s="289"/>
      <c r="B85" s="292"/>
      <c r="C85" s="295"/>
      <c r="D85" s="304">
        <v>3</v>
      </c>
      <c r="E85" s="283">
        <v>0.5277777777777778</v>
      </c>
      <c r="F85" s="282">
        <v>0.5902777777777778</v>
      </c>
      <c r="G85" s="86" t="str">
        <f>VLOOKUP(D85,AL81:AP88,IF(VLOOKUP(D85,AL81:AP88,5,FALSE)=1,4,2),FALSE)</f>
        <v>Ａ</v>
      </c>
      <c r="H85" s="316" t="str">
        <f>IF(G85&lt;&gt;"",VLOOKUP(G85,'参加チーム'!$B$5:$G$73,IF($N$2=1,4,5),FALSE),"")</f>
        <v>BANFF</v>
      </c>
      <c r="I85" s="304">
        <f>IF(J85&lt;&gt;"",J85+J86,"")</f>
      </c>
      <c r="J85" s="116"/>
      <c r="K85" s="303" t="s">
        <v>120</v>
      </c>
      <c r="L85" s="116"/>
      <c r="M85" s="304">
        <f>IF(L85&lt;&gt;"",L85+L86,"")</f>
      </c>
      <c r="N85" s="86" t="str">
        <f>VLOOKUP(D85,AL81:AP88,IF(VLOOKUP(D85,AL81:AP88,5,FALSE)=1,2,4),FALSE)</f>
        <v>Ｃ</v>
      </c>
      <c r="O85" s="316" t="str">
        <f>IF(N85&lt;&gt;"",VLOOKUP(N85,'参加チーム'!$B$5:$G$73,IF($N$2=1,4,5),FALSE),"")</f>
        <v>かちかち山</v>
      </c>
      <c r="P85" s="325" t="str">
        <f>+O85</f>
        <v>かちかち山</v>
      </c>
      <c r="Q85" s="323"/>
      <c r="S85" s="20" t="str">
        <f>+"後"&amp;G85&amp;N85</f>
        <v>後ＡＣ</v>
      </c>
      <c r="T85" s="16">
        <f>+I85</f>
      </c>
      <c r="U85" s="16">
        <f>+M85</f>
      </c>
      <c r="V85" s="21">
        <f>+B81</f>
        <v>40455</v>
      </c>
      <c r="X85" s="117">
        <f t="shared" si="16"/>
        <v>10</v>
      </c>
      <c r="Y85" s="117">
        <f t="shared" si="17"/>
        <v>5</v>
      </c>
      <c r="Z85" s="117" t="str">
        <f t="shared" si="18"/>
        <v>10/ 5</v>
      </c>
      <c r="AA85" s="117" t="str">
        <f t="shared" si="19"/>
        <v>△</v>
      </c>
      <c r="AB85" s="14">
        <f>IF(T85&lt;&gt;"",H85,"")</f>
      </c>
      <c r="AC85" s="117" t="str">
        <f>+Z85&amp;" "&amp;AA85&amp;" "&amp;T85&amp;"-"&amp;U85&amp;" "&amp;O85</f>
        <v>10/ 5 △ - かちかち山</v>
      </c>
      <c r="AD85" s="14">
        <f>+J85</f>
        <v>0</v>
      </c>
      <c r="AE85" s="14">
        <f>+J86</f>
        <v>0</v>
      </c>
      <c r="AF85" s="14">
        <f>+L85</f>
        <v>0</v>
      </c>
      <c r="AG85" s="14">
        <f>+L86</f>
        <v>0</v>
      </c>
      <c r="AH85" s="121">
        <f t="shared" si="20"/>
        <v>40455</v>
      </c>
      <c r="AL85" s="164">
        <v>1</v>
      </c>
      <c r="AM85" s="167" t="str">
        <f>+AM65</f>
        <v>Ｂ</v>
      </c>
      <c r="AN85" s="167"/>
      <c r="AO85" s="167" t="str">
        <f>+AO69</f>
        <v>Ｅ</v>
      </c>
      <c r="AP85" s="164"/>
    </row>
    <row r="86" spans="1:42" ht="15.75" customHeight="1">
      <c r="A86" s="289"/>
      <c r="B86" s="292"/>
      <c r="C86" s="295"/>
      <c r="D86" s="281"/>
      <c r="E86" s="284"/>
      <c r="F86" s="286"/>
      <c r="G86" s="85" t="str">
        <f>LEFT(VLOOKUP(G85,'参加チーム'!$B$5:$G$73,6,FALSE),2)</f>
        <v>宮城</v>
      </c>
      <c r="H86" s="317"/>
      <c r="I86" s="281"/>
      <c r="J86" s="116"/>
      <c r="K86" s="302"/>
      <c r="L86" s="116"/>
      <c r="M86" s="281"/>
      <c r="N86" s="85" t="str">
        <f>LEFT(VLOOKUP(N85,'参加チーム'!$B$5:$G$73,6,FALSE),2)</f>
        <v>福島</v>
      </c>
      <c r="O86" s="317"/>
      <c r="P86" s="307"/>
      <c r="Q86" s="323"/>
      <c r="S86" s="20" t="str">
        <f>+"後"&amp;N85&amp;G85</f>
        <v>後ＣＡ</v>
      </c>
      <c r="T86" s="16">
        <f>+M85</f>
      </c>
      <c r="U86" s="16">
        <f>+I85</f>
      </c>
      <c r="V86" s="21">
        <f>+B81</f>
        <v>40455</v>
      </c>
      <c r="X86" s="117">
        <f t="shared" si="16"/>
        <v>10</v>
      </c>
      <c r="Y86" s="117">
        <f t="shared" si="17"/>
        <v>5</v>
      </c>
      <c r="Z86" s="117" t="str">
        <f t="shared" si="18"/>
        <v>10/ 5</v>
      </c>
      <c r="AA86" s="117" t="str">
        <f t="shared" si="19"/>
        <v>△</v>
      </c>
      <c r="AB86" s="14">
        <f>IF(T86&lt;&gt;"",O85,"")</f>
      </c>
      <c r="AC86" s="117" t="str">
        <f>+Z86&amp;" "&amp;AA86&amp;" "&amp;T86&amp;"-"&amp;U86&amp;" "&amp;H85</f>
        <v>10/ 5 △ - BANFF</v>
      </c>
      <c r="AD86" s="14">
        <f>+L85</f>
        <v>0</v>
      </c>
      <c r="AE86" s="14">
        <f>+L86</f>
        <v>0</v>
      </c>
      <c r="AF86" s="14">
        <f>+J85</f>
        <v>0</v>
      </c>
      <c r="AG86" s="14">
        <f>+J86</f>
        <v>0</v>
      </c>
      <c r="AH86" s="121">
        <f t="shared" si="20"/>
        <v>40455</v>
      </c>
      <c r="AL86" s="164"/>
      <c r="AM86" s="167"/>
      <c r="AN86" s="167"/>
      <c r="AO86" s="167"/>
      <c r="AP86" s="164"/>
    </row>
    <row r="87" spans="1:42" ht="15.75" customHeight="1">
      <c r="A87" s="289"/>
      <c r="B87" s="292"/>
      <c r="C87" s="295"/>
      <c r="D87" s="297">
        <v>4</v>
      </c>
      <c r="E87" s="283">
        <v>0.6041666666666666</v>
      </c>
      <c r="F87" s="282">
        <v>0.6666666666666666</v>
      </c>
      <c r="G87" s="86" t="str">
        <f>VLOOKUP(D87,AL81:AP88,IF(VLOOKUP(D87,AL81:AP88,5,FALSE)=1,4,2),FALSE)</f>
        <v>G</v>
      </c>
      <c r="H87" s="319" t="str">
        <f>IF(G87&lt;&gt;"",VLOOKUP(G87,'参加チーム'!$B$5:$G$73,IF($N$2=1,4,5),FALSE),"")</f>
        <v>D-GUCCI</v>
      </c>
      <c r="I87" s="304">
        <f>IF(J87&lt;&gt;"",J87+J88,"")</f>
      </c>
      <c r="J87" s="116"/>
      <c r="K87" s="303" t="s">
        <v>120</v>
      </c>
      <c r="L87" s="116"/>
      <c r="M87" s="304">
        <f>IF(L87&lt;&gt;"",L87+L88,"")</f>
      </c>
      <c r="N87" s="86" t="str">
        <f>VLOOKUP(D87,AL81:AP88,IF(VLOOKUP(D87,AL81:AP88,5,FALSE)=1,2,4),FALSE)</f>
        <v>H</v>
      </c>
      <c r="O87" s="319" t="str">
        <f>IF(N87&lt;&gt;"",VLOOKUP(N87,'参加チーム'!$B$5:$G$73,IF($N$2=1,4,5),FALSE),"")</f>
        <v>CROSS</v>
      </c>
      <c r="P87" s="325" t="str">
        <f>+O87</f>
        <v>CROSS</v>
      </c>
      <c r="Q87" s="323"/>
      <c r="S87" s="20" t="str">
        <f>+"後"&amp;G87&amp;N87</f>
        <v>後GH</v>
      </c>
      <c r="T87" s="16">
        <f>+I87</f>
      </c>
      <c r="U87" s="16">
        <f>+M87</f>
      </c>
      <c r="V87" s="21">
        <f>+B81</f>
        <v>40455</v>
      </c>
      <c r="X87" s="117">
        <f t="shared" si="16"/>
        <v>10</v>
      </c>
      <c r="Y87" s="117">
        <f t="shared" si="17"/>
        <v>5</v>
      </c>
      <c r="Z87" s="117" t="str">
        <f t="shared" si="18"/>
        <v>10/ 5</v>
      </c>
      <c r="AA87" s="117" t="str">
        <f t="shared" si="19"/>
        <v>△</v>
      </c>
      <c r="AB87" s="14">
        <f>IF(T87&lt;&gt;"",H87,"")</f>
      </c>
      <c r="AC87" s="117" t="str">
        <f>+Z87&amp;" "&amp;AA87&amp;" "&amp;T87&amp;"-"&amp;U87&amp;" "&amp;O87</f>
        <v>10/ 5 △ - CROSS</v>
      </c>
      <c r="AD87" s="14">
        <f>+J87</f>
        <v>0</v>
      </c>
      <c r="AE87" s="14">
        <f>+J88</f>
        <v>0</v>
      </c>
      <c r="AF87" s="14">
        <f>+L87</f>
        <v>0</v>
      </c>
      <c r="AG87" s="14">
        <f>+L88</f>
        <v>0</v>
      </c>
      <c r="AH87" s="121">
        <f t="shared" si="20"/>
        <v>40455</v>
      </c>
      <c r="AL87" s="164">
        <v>2</v>
      </c>
      <c r="AM87" s="167" t="str">
        <f>+AM67</f>
        <v>Ｆ</v>
      </c>
      <c r="AN87" s="167"/>
      <c r="AO87" s="167" t="str">
        <f>+AO71</f>
        <v>Ｄ</v>
      </c>
      <c r="AP87" s="164"/>
    </row>
    <row r="88" spans="1:42" ht="15.75" customHeight="1" thickBot="1">
      <c r="A88" s="290"/>
      <c r="B88" s="293"/>
      <c r="C88" s="296"/>
      <c r="D88" s="298"/>
      <c r="E88" s="285"/>
      <c r="F88" s="287"/>
      <c r="G88" s="124" t="str">
        <f>LEFT(VLOOKUP(G87,'参加チーム'!$B$5:$G$73,6,FALSE),2)</f>
        <v>宮城</v>
      </c>
      <c r="H88" s="320"/>
      <c r="I88" s="305"/>
      <c r="J88" s="125"/>
      <c r="K88" s="321"/>
      <c r="L88" s="125"/>
      <c r="M88" s="305"/>
      <c r="N88" s="124" t="str">
        <f>LEFT(VLOOKUP(N87,'参加チーム'!$B$5:$G$73,6,FALSE),2)</f>
        <v>岩手</v>
      </c>
      <c r="O88" s="320"/>
      <c r="P88" s="315"/>
      <c r="Q88" s="324"/>
      <c r="S88" s="22" t="str">
        <f>+"後"&amp;N87&amp;G87</f>
        <v>後HG</v>
      </c>
      <c r="T88" s="23">
        <f>+M87</f>
      </c>
      <c r="U88" s="23">
        <f>+I87</f>
      </c>
      <c r="V88" s="24">
        <f>+B81</f>
        <v>40455</v>
      </c>
      <c r="X88" s="117">
        <f t="shared" si="16"/>
        <v>10</v>
      </c>
      <c r="Y88" s="117">
        <f t="shared" si="17"/>
        <v>5</v>
      </c>
      <c r="Z88" s="117" t="str">
        <f t="shared" si="18"/>
        <v>10/ 5</v>
      </c>
      <c r="AA88" s="117" t="str">
        <f t="shared" si="19"/>
        <v>△</v>
      </c>
      <c r="AB88" s="14">
        <f>IF(T88&lt;&gt;"",O87,"")</f>
      </c>
      <c r="AC88" s="117" t="str">
        <f>+Z88&amp;" "&amp;AA88&amp;" "&amp;T88&amp;"-"&amp;U88&amp;" "&amp;H87</f>
        <v>10/ 5 △ - D-GUCCI</v>
      </c>
      <c r="AD88" s="14">
        <f>+L87</f>
        <v>0</v>
      </c>
      <c r="AE88" s="14">
        <f>+L88</f>
        <v>0</v>
      </c>
      <c r="AF88" s="14">
        <f>+J87</f>
        <v>0</v>
      </c>
      <c r="AG88" s="14">
        <f>+J88</f>
        <v>0</v>
      </c>
      <c r="AH88" s="121">
        <f t="shared" si="20"/>
        <v>40455</v>
      </c>
      <c r="AL88" s="164"/>
      <c r="AM88" s="167"/>
      <c r="AN88" s="167"/>
      <c r="AO88" s="167"/>
      <c r="AP88" s="164"/>
    </row>
    <row r="89" spans="1:42" ht="15.75" customHeight="1">
      <c r="A89" s="288">
        <v>11</v>
      </c>
      <c r="B89" s="291">
        <v>40462</v>
      </c>
      <c r="C89" s="314" t="s">
        <v>107</v>
      </c>
      <c r="D89" s="308">
        <v>1</v>
      </c>
      <c r="E89" s="280">
        <v>0.3958333333333333</v>
      </c>
      <c r="F89" s="280">
        <v>0.4375</v>
      </c>
      <c r="G89" s="84" t="str">
        <f>VLOOKUP(D89,AL89:AP96,IF(VLOOKUP(D89,AL89:AP96,5,FALSE)=1,4,2),FALSE)</f>
        <v>Ｃ</v>
      </c>
      <c r="H89" s="318" t="str">
        <f>IF(G89&lt;&gt;"",VLOOKUP(G89,'参加チーム'!$B$5:$G$73,IF($N$2=1,4,5),FALSE),"")</f>
        <v>かちかち山</v>
      </c>
      <c r="I89" s="300">
        <f>IF(J89&lt;&gt;"",J89+J90,"")</f>
      </c>
      <c r="J89" s="123"/>
      <c r="K89" s="301" t="s">
        <v>86</v>
      </c>
      <c r="L89" s="123"/>
      <c r="M89" s="300">
        <f>IF(L89&lt;&gt;"",L89+L90,"")</f>
      </c>
      <c r="N89" s="84" t="str">
        <f>VLOOKUP(D89,AL89:AP96,IF(VLOOKUP(D89,AL89:AP96,5,FALSE)=1,2,4),FALSE)</f>
        <v>G</v>
      </c>
      <c r="O89" s="318" t="str">
        <f>IF(N89&lt;&gt;"",VLOOKUP(N89,'参加チーム'!$B$5:$G$73,IF($N$2=1,4,5),FALSE),"")</f>
        <v>D-GUCCI</v>
      </c>
      <c r="P89" s="326" t="str">
        <f>+O89</f>
        <v>D-GUCCI</v>
      </c>
      <c r="Q89" s="322" t="str">
        <f>+H89</f>
        <v>かちかち山</v>
      </c>
      <c r="S89" s="17" t="str">
        <f>+"後"&amp;G89&amp;N89</f>
        <v>後ＣG</v>
      </c>
      <c r="T89" s="18">
        <f>IF(I89&lt;&gt;"",I89,"")</f>
      </c>
      <c r="U89" s="18">
        <f>IF(M89&lt;&gt;"",M89,"")</f>
      </c>
      <c r="V89" s="19">
        <f>+B89</f>
        <v>40462</v>
      </c>
      <c r="X89" s="117">
        <f aca="true" t="shared" si="23" ref="X89:X96">MONTH(V89)</f>
        <v>10</v>
      </c>
      <c r="Y89" s="117">
        <f aca="true" t="shared" si="24" ref="Y89:Y96">DAY(V89)</f>
        <v>12</v>
      </c>
      <c r="Z89" s="117" t="str">
        <f aca="true" t="shared" si="25" ref="Z89:Z96">IF(LEN(X89)=1," ","")&amp;X89&amp;"/"&amp;IF(LEN(Y89)=1," ","")&amp;Y89</f>
        <v>10/12</v>
      </c>
      <c r="AA89" s="117" t="str">
        <f aca="true" t="shared" si="26" ref="AA89:AA96">IF(T89&gt;U89,"○",IF(T89&lt;U89,"●","△"))</f>
        <v>△</v>
      </c>
      <c r="AB89" s="14">
        <f>IF(T89&lt;&gt;"",H89,"")</f>
      </c>
      <c r="AC89" s="117" t="str">
        <f>+Z89&amp;" "&amp;AA89&amp;" "&amp;T89&amp;"-"&amp;U89&amp;" "&amp;O89</f>
        <v>10/12 △ - D-GUCCI</v>
      </c>
      <c r="AD89" s="14">
        <f>+J89</f>
        <v>0</v>
      </c>
      <c r="AE89" s="14">
        <f>+J90</f>
        <v>0</v>
      </c>
      <c r="AF89" s="14">
        <f>+L89</f>
        <v>0</v>
      </c>
      <c r="AG89" s="14">
        <f>+L90</f>
        <v>0</v>
      </c>
      <c r="AH89" s="121">
        <f aca="true" t="shared" si="27" ref="AH89:AH96">+V89</f>
        <v>40462</v>
      </c>
      <c r="AL89" s="164">
        <v>1</v>
      </c>
      <c r="AM89" s="168" t="str">
        <f>+AM81</f>
        <v>G</v>
      </c>
      <c r="AN89" s="168"/>
      <c r="AO89" s="168" t="str">
        <f>+AO83</f>
        <v>Ｃ</v>
      </c>
      <c r="AP89" s="164">
        <v>1</v>
      </c>
    </row>
    <row r="90" spans="1:42" ht="15.75" customHeight="1">
      <c r="A90" s="289"/>
      <c r="B90" s="292"/>
      <c r="C90" s="311"/>
      <c r="D90" s="309"/>
      <c r="E90" s="281"/>
      <c r="F90" s="286"/>
      <c r="G90" s="85" t="str">
        <f>LEFT(VLOOKUP(G89,'参加チーム'!$B$5:$G$73,6,FALSE),2)</f>
        <v>福島</v>
      </c>
      <c r="H90" s="317"/>
      <c r="I90" s="281"/>
      <c r="J90" s="116"/>
      <c r="K90" s="302"/>
      <c r="L90" s="116"/>
      <c r="M90" s="281"/>
      <c r="N90" s="85" t="str">
        <f>LEFT(VLOOKUP(N89,'参加チーム'!$B$5:$G$73,6,FALSE),2)</f>
        <v>宮城</v>
      </c>
      <c r="O90" s="317"/>
      <c r="P90" s="307"/>
      <c r="Q90" s="323"/>
      <c r="S90" s="20" t="str">
        <f>+"後"&amp;N89&amp;G89</f>
        <v>後GＣ</v>
      </c>
      <c r="T90" s="16">
        <f>IF(M89&lt;&gt;"",M89,"")</f>
      </c>
      <c r="U90" s="16">
        <f>IF(I89&lt;&gt;"",I89,"")</f>
      </c>
      <c r="V90" s="21">
        <f>+B89</f>
        <v>40462</v>
      </c>
      <c r="X90" s="117">
        <f t="shared" si="23"/>
        <v>10</v>
      </c>
      <c r="Y90" s="117">
        <f t="shared" si="24"/>
        <v>12</v>
      </c>
      <c r="Z90" s="117" t="str">
        <f t="shared" si="25"/>
        <v>10/12</v>
      </c>
      <c r="AA90" s="117" t="str">
        <f t="shared" si="26"/>
        <v>△</v>
      </c>
      <c r="AB90" s="14">
        <f>IF(T90&lt;&gt;"",O89,"")</f>
      </c>
      <c r="AC90" s="117" t="str">
        <f>+Z90&amp;" "&amp;AA90&amp;" "&amp;T90&amp;"-"&amp;U90&amp;" "&amp;H89</f>
        <v>10/12 △ - かちかち山</v>
      </c>
      <c r="AD90" s="14">
        <f>+L89</f>
        <v>0</v>
      </c>
      <c r="AE90" s="14">
        <f>+L90</f>
        <v>0</v>
      </c>
      <c r="AF90" s="14">
        <f>+J89</f>
        <v>0</v>
      </c>
      <c r="AG90" s="14">
        <f>+J90</f>
        <v>0</v>
      </c>
      <c r="AH90" s="121">
        <f t="shared" si="27"/>
        <v>40462</v>
      </c>
      <c r="AL90" s="164"/>
      <c r="AM90" s="168"/>
      <c r="AN90" s="168"/>
      <c r="AO90" s="168"/>
      <c r="AP90" s="164"/>
    </row>
    <row r="91" spans="1:42" ht="15.75" customHeight="1">
      <c r="A91" s="289"/>
      <c r="B91" s="292"/>
      <c r="C91" s="311"/>
      <c r="D91" s="297">
        <v>2</v>
      </c>
      <c r="E91" s="282">
        <v>0.45138888888888895</v>
      </c>
      <c r="F91" s="282">
        <v>0.513888888888889</v>
      </c>
      <c r="G91" s="86" t="str">
        <f>VLOOKUP(D91,AL89:AP96,IF(VLOOKUP(D91,AL89:AP96,5,FALSE)=1,4,2),FALSE)</f>
        <v>Ａ</v>
      </c>
      <c r="H91" s="316" t="str">
        <f>IF(G91&lt;&gt;"",VLOOKUP(G91,'参加チーム'!$B$5:$G$73,IF($N$2=1,4,5),FALSE),"")</f>
        <v>BANFF</v>
      </c>
      <c r="I91" s="304">
        <f>IF(J91&lt;&gt;"",J91+J92,"")</f>
      </c>
      <c r="J91" s="116"/>
      <c r="K91" s="303" t="s">
        <v>120</v>
      </c>
      <c r="L91" s="116"/>
      <c r="M91" s="304">
        <f>IF(L91&lt;&gt;"",L91+L92,"")</f>
      </c>
      <c r="N91" s="86" t="str">
        <f>VLOOKUP(D91,AL89:AP96,IF(VLOOKUP(D91,AL89:AP96,5,FALSE)=1,2,4),FALSE)</f>
        <v>H</v>
      </c>
      <c r="O91" s="316" t="str">
        <f>IF(N91&lt;&gt;"",VLOOKUP(N91,'参加チーム'!$B$5:$G$73,IF($N$2=1,4,5),FALSE),"")</f>
        <v>CROSS</v>
      </c>
      <c r="P91" s="325" t="str">
        <f>+O91</f>
        <v>CROSS</v>
      </c>
      <c r="Q91" s="323"/>
      <c r="S91" s="20" t="str">
        <f>+"後"&amp;G91&amp;N91</f>
        <v>後ＡH</v>
      </c>
      <c r="T91" s="16">
        <f>+I91</f>
      </c>
      <c r="U91" s="16">
        <f>+M91</f>
      </c>
      <c r="V91" s="21">
        <f>+B89</f>
        <v>40462</v>
      </c>
      <c r="X91" s="117">
        <f t="shared" si="23"/>
        <v>10</v>
      </c>
      <c r="Y91" s="117">
        <f t="shared" si="24"/>
        <v>12</v>
      </c>
      <c r="Z91" s="117" t="str">
        <f t="shared" si="25"/>
        <v>10/12</v>
      </c>
      <c r="AA91" s="117" t="str">
        <f t="shared" si="26"/>
        <v>△</v>
      </c>
      <c r="AB91" s="14">
        <f>IF(T91&lt;&gt;"",H91,"")</f>
      </c>
      <c r="AC91" s="117" t="str">
        <f>+Z91&amp;" "&amp;AA91&amp;" "&amp;T91&amp;"-"&amp;U91&amp;" "&amp;O91</f>
        <v>10/12 △ - CROSS</v>
      </c>
      <c r="AD91" s="14">
        <f>+J91</f>
        <v>0</v>
      </c>
      <c r="AE91" s="14">
        <f>+J92</f>
        <v>0</v>
      </c>
      <c r="AF91" s="14">
        <f>+L91</f>
        <v>0</v>
      </c>
      <c r="AG91" s="14">
        <f>+L92</f>
        <v>0</v>
      </c>
      <c r="AH91" s="121">
        <f t="shared" si="27"/>
        <v>40462</v>
      </c>
      <c r="AL91" s="164">
        <v>2</v>
      </c>
      <c r="AM91" s="168" t="str">
        <f>+AM83</f>
        <v>Ａ</v>
      </c>
      <c r="AN91" s="168"/>
      <c r="AO91" s="168" t="str">
        <f>+AO81</f>
        <v>H</v>
      </c>
      <c r="AP91" s="164"/>
    </row>
    <row r="92" spans="1:42" ht="15.75" customHeight="1">
      <c r="A92" s="289"/>
      <c r="B92" s="292"/>
      <c r="C92" s="294" t="s">
        <v>119</v>
      </c>
      <c r="D92" s="309"/>
      <c r="E92" s="281"/>
      <c r="F92" s="286"/>
      <c r="G92" s="85" t="str">
        <f>LEFT(VLOOKUP(G91,'参加チーム'!$B$5:$G$73,6,FALSE),2)</f>
        <v>宮城</v>
      </c>
      <c r="H92" s="317"/>
      <c r="I92" s="281"/>
      <c r="J92" s="116"/>
      <c r="K92" s="302"/>
      <c r="L92" s="116"/>
      <c r="M92" s="281"/>
      <c r="N92" s="85" t="str">
        <f>LEFT(VLOOKUP(N91,'参加チーム'!$B$5:$G$73,6,FALSE),2)</f>
        <v>岩手</v>
      </c>
      <c r="O92" s="317"/>
      <c r="P92" s="307"/>
      <c r="Q92" s="323"/>
      <c r="S92" s="20" t="str">
        <f>+"後"&amp;N91&amp;G91</f>
        <v>後HＡ</v>
      </c>
      <c r="T92" s="16">
        <f>+M91</f>
      </c>
      <c r="U92" s="16">
        <f>+I91</f>
      </c>
      <c r="V92" s="21">
        <f>+B89</f>
        <v>40462</v>
      </c>
      <c r="X92" s="117">
        <f t="shared" si="23"/>
        <v>10</v>
      </c>
      <c r="Y92" s="117">
        <f t="shared" si="24"/>
        <v>12</v>
      </c>
      <c r="Z92" s="117" t="str">
        <f t="shared" si="25"/>
        <v>10/12</v>
      </c>
      <c r="AA92" s="117" t="str">
        <f t="shared" si="26"/>
        <v>△</v>
      </c>
      <c r="AB92" s="14">
        <f>IF(T92&lt;&gt;"",O91,"")</f>
      </c>
      <c r="AC92" s="117" t="str">
        <f>+Z92&amp;" "&amp;AA92&amp;" "&amp;T92&amp;"-"&amp;U92&amp;" "&amp;H91</f>
        <v>10/12 △ - BANFF</v>
      </c>
      <c r="AD92" s="14">
        <f>+L91</f>
        <v>0</v>
      </c>
      <c r="AE92" s="14">
        <f>+L92</f>
        <v>0</v>
      </c>
      <c r="AF92" s="14">
        <f>+J91</f>
        <v>0</v>
      </c>
      <c r="AG92" s="14">
        <f>+J92</f>
        <v>0</v>
      </c>
      <c r="AH92" s="121">
        <f t="shared" si="27"/>
        <v>40462</v>
      </c>
      <c r="AL92" s="164"/>
      <c r="AM92" s="168"/>
      <c r="AN92" s="168"/>
      <c r="AO92" s="168"/>
      <c r="AP92" s="164"/>
    </row>
    <row r="93" spans="1:42" ht="15.75" customHeight="1">
      <c r="A93" s="289"/>
      <c r="B93" s="292"/>
      <c r="C93" s="295"/>
      <c r="D93" s="304">
        <v>3</v>
      </c>
      <c r="E93" s="283">
        <v>0.5277777777777778</v>
      </c>
      <c r="F93" s="282">
        <v>0.5902777777777778</v>
      </c>
      <c r="G93" s="86" t="str">
        <f>VLOOKUP(D93,AL89:AP96,IF(VLOOKUP(D93,AL89:AP96,5,FALSE)=1,4,2),FALSE)</f>
        <v>Ｄ</v>
      </c>
      <c r="H93" s="316" t="str">
        <f>IF(G93&lt;&gt;"",VLOOKUP(G93,'参加チーム'!$B$5:$G$73,IF($N$2=1,4,5),FALSE),"")</f>
        <v>malva</v>
      </c>
      <c r="I93" s="304">
        <f>IF(J93&lt;&gt;"",J93+J94,"")</f>
      </c>
      <c r="J93" s="116"/>
      <c r="K93" s="303" t="s">
        <v>120</v>
      </c>
      <c r="L93" s="116"/>
      <c r="M93" s="304">
        <f>IF(L93&lt;&gt;"",L93+L94,"")</f>
      </c>
      <c r="N93" s="86" t="str">
        <f>VLOOKUP(D93,AL89:AP96,IF(VLOOKUP(D93,AL89:AP96,5,FALSE)=1,2,4),FALSE)</f>
        <v>Ｂ</v>
      </c>
      <c r="O93" s="316" t="str">
        <f>IF(N93&lt;&gt;"",VLOOKUP(N93,'参加チーム'!$B$5:$G$73,IF($N$2=1,4,5),FALSE),"")</f>
        <v>ヴォスクオーレ</v>
      </c>
      <c r="P93" s="325" t="str">
        <f>+O93</f>
        <v>ヴォスクオーレ</v>
      </c>
      <c r="Q93" s="323"/>
      <c r="S93" s="20" t="str">
        <f>+"後"&amp;G93&amp;N93</f>
        <v>後ＤＢ</v>
      </c>
      <c r="T93" s="16">
        <f>+I93</f>
      </c>
      <c r="U93" s="16">
        <f>+M93</f>
      </c>
      <c r="V93" s="21">
        <f>+B89</f>
        <v>40462</v>
      </c>
      <c r="X93" s="117">
        <f t="shared" si="23"/>
        <v>10</v>
      </c>
      <c r="Y93" s="117">
        <f t="shared" si="24"/>
        <v>12</v>
      </c>
      <c r="Z93" s="117" t="str">
        <f t="shared" si="25"/>
        <v>10/12</v>
      </c>
      <c r="AA93" s="117" t="str">
        <f t="shared" si="26"/>
        <v>△</v>
      </c>
      <c r="AB93" s="14">
        <f>IF(T93&lt;&gt;"",H93,"")</f>
      </c>
      <c r="AC93" s="117" t="str">
        <f>+Z93&amp;" "&amp;AA93&amp;" "&amp;T93&amp;"-"&amp;U93&amp;" "&amp;O93</f>
        <v>10/12 △ - ヴォスクオーレ</v>
      </c>
      <c r="AD93" s="14">
        <f>+J93</f>
        <v>0</v>
      </c>
      <c r="AE93" s="14">
        <f>+J94</f>
        <v>0</v>
      </c>
      <c r="AF93" s="14">
        <f>+L93</f>
        <v>0</v>
      </c>
      <c r="AG93" s="14">
        <f>+L94</f>
        <v>0</v>
      </c>
      <c r="AH93" s="121">
        <f t="shared" si="27"/>
        <v>40462</v>
      </c>
      <c r="AL93" s="164">
        <v>3</v>
      </c>
      <c r="AM93" s="168" t="str">
        <f>+AM85</f>
        <v>Ｂ</v>
      </c>
      <c r="AN93" s="168"/>
      <c r="AO93" s="168" t="str">
        <f>+AO87</f>
        <v>Ｄ</v>
      </c>
      <c r="AP93" s="164">
        <v>1</v>
      </c>
    </row>
    <row r="94" spans="1:42" ht="15.75" customHeight="1">
      <c r="A94" s="289"/>
      <c r="B94" s="292"/>
      <c r="C94" s="295"/>
      <c r="D94" s="281"/>
      <c r="E94" s="284"/>
      <c r="F94" s="286"/>
      <c r="G94" s="85" t="str">
        <f>LEFT(VLOOKUP(G93,'参加チーム'!$B$5:$G$73,6,FALSE),2)</f>
        <v>山形</v>
      </c>
      <c r="H94" s="317"/>
      <c r="I94" s="281"/>
      <c r="J94" s="116"/>
      <c r="K94" s="302"/>
      <c r="L94" s="116"/>
      <c r="M94" s="281"/>
      <c r="N94" s="85" t="str">
        <f>LEFT(VLOOKUP(N93,'参加チーム'!$B$5:$G$73,6,FALSE),2)</f>
        <v>宮城</v>
      </c>
      <c r="O94" s="317"/>
      <c r="P94" s="307"/>
      <c r="Q94" s="323"/>
      <c r="S94" s="20" t="str">
        <f>+"後"&amp;N93&amp;G93</f>
        <v>後ＢＤ</v>
      </c>
      <c r="T94" s="16">
        <f>+M93</f>
      </c>
      <c r="U94" s="16">
        <f>+I93</f>
      </c>
      <c r="V94" s="21">
        <f>+B89</f>
        <v>40462</v>
      </c>
      <c r="X94" s="117">
        <f t="shared" si="23"/>
        <v>10</v>
      </c>
      <c r="Y94" s="117">
        <f t="shared" si="24"/>
        <v>12</v>
      </c>
      <c r="Z94" s="117" t="str">
        <f t="shared" si="25"/>
        <v>10/12</v>
      </c>
      <c r="AA94" s="117" t="str">
        <f t="shared" si="26"/>
        <v>△</v>
      </c>
      <c r="AB94" s="14">
        <f>IF(T94&lt;&gt;"",O93,"")</f>
      </c>
      <c r="AC94" s="117" t="str">
        <f>+Z94&amp;" "&amp;AA94&amp;" "&amp;T94&amp;"-"&amp;U94&amp;" "&amp;H93</f>
        <v>10/12 △ - malva</v>
      </c>
      <c r="AD94" s="14">
        <f>+L93</f>
        <v>0</v>
      </c>
      <c r="AE94" s="14">
        <f>+L94</f>
        <v>0</v>
      </c>
      <c r="AF94" s="14">
        <f>+J93</f>
        <v>0</v>
      </c>
      <c r="AG94" s="14">
        <f>+J94</f>
        <v>0</v>
      </c>
      <c r="AH94" s="121">
        <f t="shared" si="27"/>
        <v>40462</v>
      </c>
      <c r="AL94" s="164"/>
      <c r="AM94" s="168"/>
      <c r="AN94" s="168"/>
      <c r="AO94" s="168"/>
      <c r="AP94" s="164"/>
    </row>
    <row r="95" spans="1:42" ht="15.75" customHeight="1">
      <c r="A95" s="289"/>
      <c r="B95" s="292"/>
      <c r="C95" s="295"/>
      <c r="D95" s="297">
        <v>4</v>
      </c>
      <c r="E95" s="283">
        <v>0.6041666666666666</v>
      </c>
      <c r="F95" s="282">
        <v>0.6666666666666666</v>
      </c>
      <c r="G95" s="86" t="str">
        <f>VLOOKUP(D95,AL89:AP96,IF(VLOOKUP(D95,AL89:AP96,5,FALSE)=1,4,2),FALSE)</f>
        <v>Ｆ</v>
      </c>
      <c r="H95" s="319" t="str">
        <f>IF(G95&lt;&gt;"",VLOOKUP(G95,'参加チーム'!$B$5:$G$73,IF($N$2=1,4,5),FALSE),"")</f>
        <v>volviendo</v>
      </c>
      <c r="I95" s="304">
        <f>IF(J95&lt;&gt;"",J95+J96,"")</f>
      </c>
      <c r="J95" s="116"/>
      <c r="K95" s="303" t="s">
        <v>120</v>
      </c>
      <c r="L95" s="116"/>
      <c r="M95" s="304">
        <f>IF(L95&lt;&gt;"",L95+L96,"")</f>
      </c>
      <c r="N95" s="86" t="str">
        <f>VLOOKUP(D95,AL89:AP96,IF(VLOOKUP(D95,AL89:AP96,5,FALSE)=1,2,4),FALSE)</f>
        <v>Ｅ</v>
      </c>
      <c r="O95" s="319" t="str">
        <f>IF(N95&lt;&gt;"",VLOOKUP(N95,'参加チーム'!$B$5:$G$73,IF($N$2=1,4,5),FALSE),"")</f>
        <v>Sabedoria</v>
      </c>
      <c r="P95" s="325" t="str">
        <f>+O95</f>
        <v>Sabedoria</v>
      </c>
      <c r="Q95" s="323"/>
      <c r="S95" s="20" t="str">
        <f>+"後"&amp;G95&amp;N95</f>
        <v>後ＦＥ</v>
      </c>
      <c r="T95" s="16">
        <f>+I95</f>
      </c>
      <c r="U95" s="16">
        <f>+M95</f>
      </c>
      <c r="V95" s="21">
        <f>+B89</f>
        <v>40462</v>
      </c>
      <c r="X95" s="117">
        <f t="shared" si="23"/>
        <v>10</v>
      </c>
      <c r="Y95" s="117">
        <f t="shared" si="24"/>
        <v>12</v>
      </c>
      <c r="Z95" s="117" t="str">
        <f t="shared" si="25"/>
        <v>10/12</v>
      </c>
      <c r="AA95" s="117" t="str">
        <f t="shared" si="26"/>
        <v>△</v>
      </c>
      <c r="AB95" s="14">
        <f>IF(T95&lt;&gt;"",H95,"")</f>
      </c>
      <c r="AC95" s="117" t="str">
        <f>+Z95&amp;" "&amp;AA95&amp;" "&amp;T95&amp;"-"&amp;U95&amp;" "&amp;O95</f>
        <v>10/12 △ - Sabedoria</v>
      </c>
      <c r="AD95" s="14">
        <f>+J95</f>
        <v>0</v>
      </c>
      <c r="AE95" s="14">
        <f>+J96</f>
        <v>0</v>
      </c>
      <c r="AF95" s="14">
        <f>+L95</f>
        <v>0</v>
      </c>
      <c r="AG95" s="14">
        <f>+L96</f>
        <v>0</v>
      </c>
      <c r="AH95" s="121">
        <f t="shared" si="27"/>
        <v>40462</v>
      </c>
      <c r="AL95" s="164">
        <v>4</v>
      </c>
      <c r="AM95" s="168" t="str">
        <f>+AM87</f>
        <v>Ｆ</v>
      </c>
      <c r="AN95" s="168"/>
      <c r="AO95" s="168" t="str">
        <f>+AO85</f>
        <v>Ｅ</v>
      </c>
      <c r="AP95" s="164"/>
    </row>
    <row r="96" spans="1:42" ht="15.75" customHeight="1" thickBot="1">
      <c r="A96" s="290"/>
      <c r="B96" s="293"/>
      <c r="C96" s="296"/>
      <c r="D96" s="298"/>
      <c r="E96" s="285"/>
      <c r="F96" s="287"/>
      <c r="G96" s="124" t="str">
        <f>LEFT(VLOOKUP(G95,'参加チーム'!$B$5:$G$73,6,FALSE),2)</f>
        <v>福島</v>
      </c>
      <c r="H96" s="320"/>
      <c r="I96" s="305"/>
      <c r="J96" s="125"/>
      <c r="K96" s="321"/>
      <c r="L96" s="125"/>
      <c r="M96" s="305"/>
      <c r="N96" s="124" t="str">
        <f>LEFT(VLOOKUP(N95,'参加チーム'!$B$5:$G$73,6,FALSE),2)</f>
        <v>岩手</v>
      </c>
      <c r="O96" s="320"/>
      <c r="P96" s="315"/>
      <c r="Q96" s="324"/>
      <c r="S96" s="22" t="str">
        <f>+"後"&amp;N95&amp;G95</f>
        <v>後ＥＦ</v>
      </c>
      <c r="T96" s="23">
        <f>+M95</f>
      </c>
      <c r="U96" s="23">
        <f>+I95</f>
      </c>
      <c r="V96" s="24">
        <f>+B89</f>
        <v>40462</v>
      </c>
      <c r="X96" s="117">
        <f t="shared" si="23"/>
        <v>10</v>
      </c>
      <c r="Y96" s="117">
        <f t="shared" si="24"/>
        <v>12</v>
      </c>
      <c r="Z96" s="117" t="str">
        <f t="shared" si="25"/>
        <v>10/12</v>
      </c>
      <c r="AA96" s="117" t="str">
        <f t="shared" si="26"/>
        <v>△</v>
      </c>
      <c r="AB96" s="14">
        <f>IF(T96&lt;&gt;"",O95,"")</f>
      </c>
      <c r="AC96" s="117" t="str">
        <f>+Z96&amp;" "&amp;AA96&amp;" "&amp;T96&amp;"-"&amp;U96&amp;" "&amp;H95</f>
        <v>10/12 △ - volviendo</v>
      </c>
      <c r="AD96" s="14">
        <f>+L95</f>
        <v>0</v>
      </c>
      <c r="AE96" s="14">
        <f>+L96</f>
        <v>0</v>
      </c>
      <c r="AF96" s="14">
        <f>+J95</f>
        <v>0</v>
      </c>
      <c r="AG96" s="14">
        <f>+J96</f>
        <v>0</v>
      </c>
      <c r="AH96" s="121">
        <f t="shared" si="27"/>
        <v>40462</v>
      </c>
      <c r="AL96" s="164"/>
      <c r="AM96" s="168"/>
      <c r="AN96" s="168"/>
      <c r="AO96" s="168"/>
      <c r="AP96" s="164"/>
    </row>
    <row r="97" spans="1:42" ht="15.75" customHeight="1">
      <c r="A97" s="288">
        <v>12</v>
      </c>
      <c r="B97" s="291">
        <v>40469</v>
      </c>
      <c r="C97" s="314" t="s">
        <v>59</v>
      </c>
      <c r="D97" s="308">
        <v>1</v>
      </c>
      <c r="E97" s="280">
        <v>0.3958333333333333</v>
      </c>
      <c r="F97" s="280">
        <v>0.4375</v>
      </c>
      <c r="G97" s="84" t="str">
        <f>VLOOKUP(D97,AL97:AP104,IF(VLOOKUP(D97,AL97:AP104,5,FALSE)=1,4,2),FALSE)</f>
        <v>H</v>
      </c>
      <c r="H97" s="318" t="str">
        <f>IF(G97&lt;&gt;"",VLOOKUP(G97,'参加チーム'!$B$5:$G$73,IF($N$2=1,4,5),FALSE),"")</f>
        <v>CROSS</v>
      </c>
      <c r="I97" s="300">
        <f>IF(J97&lt;&gt;"",J97+J98,"")</f>
      </c>
      <c r="J97" s="123"/>
      <c r="K97" s="301" t="s">
        <v>86</v>
      </c>
      <c r="L97" s="123"/>
      <c r="M97" s="300">
        <f>IF(L97&lt;&gt;"",L97+L98,"")</f>
      </c>
      <c r="N97" s="84" t="str">
        <f>VLOOKUP(D97,AL97:AP104,IF(VLOOKUP(D97,AL97:AP104,5,FALSE)=1,2,4),FALSE)</f>
        <v>Ｄ</v>
      </c>
      <c r="O97" s="318" t="str">
        <f>IF(N97&lt;&gt;"",VLOOKUP(N97,'参加チーム'!$B$5:$G$73,IF($N$2=1,4,5),FALSE),"")</f>
        <v>malva</v>
      </c>
      <c r="P97" s="326" t="str">
        <f>+O97</f>
        <v>malva</v>
      </c>
      <c r="Q97" s="322" t="str">
        <f>+O97</f>
        <v>malva</v>
      </c>
      <c r="S97" s="17" t="str">
        <f>+"後"&amp;G97&amp;N97</f>
        <v>後HＤ</v>
      </c>
      <c r="T97" s="18">
        <f>IF(I97&lt;&gt;"",I97,"")</f>
      </c>
      <c r="U97" s="18">
        <f>IF(M97&lt;&gt;"",M97,"")</f>
      </c>
      <c r="V97" s="19">
        <f>+B97</f>
        <v>40469</v>
      </c>
      <c r="X97" s="117">
        <f aca="true" t="shared" si="28" ref="X97:X120">MONTH(V97)</f>
        <v>10</v>
      </c>
      <c r="Y97" s="117">
        <f aca="true" t="shared" si="29" ref="Y97:Y120">DAY(V97)</f>
        <v>19</v>
      </c>
      <c r="Z97" s="117" t="str">
        <f aca="true" t="shared" si="30" ref="Z97:Z120">IF(LEN(X97)=1," ","")&amp;X97&amp;"/"&amp;IF(LEN(Y97)=1," ","")&amp;Y97</f>
        <v>10/19</v>
      </c>
      <c r="AA97" s="117" t="str">
        <f aca="true" t="shared" si="31" ref="AA97:AA120">IF(T97&gt;U97,"○",IF(T97&lt;U97,"●","△"))</f>
        <v>△</v>
      </c>
      <c r="AB97" s="14">
        <f>IF(T97&lt;&gt;"",H97,"")</f>
      </c>
      <c r="AC97" s="117" t="str">
        <f>+Z97&amp;" "&amp;AA97&amp;" "&amp;T97&amp;"-"&amp;U97&amp;" "&amp;O97</f>
        <v>10/19 △ - malva</v>
      </c>
      <c r="AD97" s="14">
        <f>+J97</f>
        <v>0</v>
      </c>
      <c r="AE97" s="14">
        <f>+J98</f>
        <v>0</v>
      </c>
      <c r="AF97" s="14">
        <f>+L97</f>
        <v>0</v>
      </c>
      <c r="AG97" s="14">
        <f>+L98</f>
        <v>0</v>
      </c>
      <c r="AH97" s="121">
        <f t="shared" si="20"/>
        <v>40469</v>
      </c>
      <c r="AL97" s="164">
        <v>4</v>
      </c>
      <c r="AM97" s="166" t="str">
        <f>+AM65</f>
        <v>Ｂ</v>
      </c>
      <c r="AN97" s="166"/>
      <c r="AO97" s="166" t="str">
        <f>+AM71</f>
        <v>Ａ</v>
      </c>
      <c r="AP97" s="164"/>
    </row>
    <row r="98" spans="1:42" ht="15.75" customHeight="1">
      <c r="A98" s="289"/>
      <c r="B98" s="292"/>
      <c r="C98" s="311"/>
      <c r="D98" s="309"/>
      <c r="E98" s="281"/>
      <c r="F98" s="286"/>
      <c r="G98" s="85" t="str">
        <f>LEFT(VLOOKUP(G97,'参加チーム'!$B$5:$G$73,6,FALSE),2)</f>
        <v>岩手</v>
      </c>
      <c r="H98" s="317"/>
      <c r="I98" s="281"/>
      <c r="J98" s="116"/>
      <c r="K98" s="302"/>
      <c r="L98" s="116"/>
      <c r="M98" s="281"/>
      <c r="N98" s="85" t="str">
        <f>LEFT(VLOOKUP(N97,'参加チーム'!$B$5:$G$73,6,FALSE),2)</f>
        <v>山形</v>
      </c>
      <c r="O98" s="317"/>
      <c r="P98" s="307"/>
      <c r="Q98" s="323"/>
      <c r="S98" s="20" t="str">
        <f>+"後"&amp;N97&amp;G97</f>
        <v>後ＤH</v>
      </c>
      <c r="T98" s="16">
        <f>IF(M97&lt;&gt;"",M97,"")</f>
      </c>
      <c r="U98" s="16">
        <f>IF(I97&lt;&gt;"",I97,"")</f>
      </c>
      <c r="V98" s="21">
        <f>+B97</f>
        <v>40469</v>
      </c>
      <c r="X98" s="117">
        <f t="shared" si="28"/>
        <v>10</v>
      </c>
      <c r="Y98" s="117">
        <f t="shared" si="29"/>
        <v>19</v>
      </c>
      <c r="Z98" s="117" t="str">
        <f t="shared" si="30"/>
        <v>10/19</v>
      </c>
      <c r="AA98" s="117" t="str">
        <f t="shared" si="31"/>
        <v>△</v>
      </c>
      <c r="AB98" s="14">
        <f>IF(T98&lt;&gt;"",O97,"")</f>
      </c>
      <c r="AC98" s="117" t="str">
        <f>+Z98&amp;" "&amp;AA98&amp;" "&amp;T98&amp;"-"&amp;U98&amp;" "&amp;H97</f>
        <v>10/19 △ - CROSS</v>
      </c>
      <c r="AD98" s="14">
        <f>+L97</f>
        <v>0</v>
      </c>
      <c r="AE98" s="14">
        <f>+L98</f>
        <v>0</v>
      </c>
      <c r="AF98" s="14">
        <f>+J97</f>
        <v>0</v>
      </c>
      <c r="AG98" s="14">
        <f>+J98</f>
        <v>0</v>
      </c>
      <c r="AH98" s="121">
        <f t="shared" si="20"/>
        <v>40469</v>
      </c>
      <c r="AL98" s="164"/>
      <c r="AM98" s="166"/>
      <c r="AN98" s="166"/>
      <c r="AO98" s="166"/>
      <c r="AP98" s="164"/>
    </row>
    <row r="99" spans="1:42" ht="15.75" customHeight="1">
      <c r="A99" s="289"/>
      <c r="B99" s="292"/>
      <c r="C99" s="311"/>
      <c r="D99" s="297">
        <v>2</v>
      </c>
      <c r="E99" s="282">
        <v>0.45138888888888895</v>
      </c>
      <c r="F99" s="282">
        <v>0.513888888888889</v>
      </c>
      <c r="G99" s="86" t="str">
        <f>VLOOKUP(D99,AL97:AP104,IF(VLOOKUP(D99,AL97:AP104,5,FALSE)=1,4,2),FALSE)</f>
        <v>Ｅ</v>
      </c>
      <c r="H99" s="316" t="str">
        <f>IF(G99&lt;&gt;"",VLOOKUP(G99,'参加チーム'!$B$5:$G$73,IF($N$2=1,4,5),FALSE),"")</f>
        <v>Sabedoria</v>
      </c>
      <c r="I99" s="304">
        <f>IF(J99&lt;&gt;"",J99+J100,"")</f>
      </c>
      <c r="J99" s="116"/>
      <c r="K99" s="303" t="s">
        <v>120</v>
      </c>
      <c r="L99" s="116"/>
      <c r="M99" s="304">
        <f>IF(L99&lt;&gt;"",L99+L100,"")</f>
      </c>
      <c r="N99" s="86" t="str">
        <f>VLOOKUP(D99,AL97:AP104,IF(VLOOKUP(D99,AL97:AP104,5,FALSE)=1,2,4),FALSE)</f>
        <v>Ｃ</v>
      </c>
      <c r="O99" s="316" t="str">
        <f>IF(N99&lt;&gt;"",VLOOKUP(N99,'参加チーム'!$B$5:$G$73,IF($N$2=1,4,5),FALSE),"")</f>
        <v>かちかち山</v>
      </c>
      <c r="P99" s="325" t="str">
        <f>+O99</f>
        <v>かちかち山</v>
      </c>
      <c r="Q99" s="323"/>
      <c r="S99" s="20" t="str">
        <f>+"後"&amp;G99&amp;N99</f>
        <v>後ＥＣ</v>
      </c>
      <c r="T99" s="16">
        <f>+I99</f>
      </c>
      <c r="U99" s="16">
        <f>+M99</f>
      </c>
      <c r="V99" s="21">
        <f>+B97</f>
        <v>40469</v>
      </c>
      <c r="X99" s="117">
        <f t="shared" si="28"/>
        <v>10</v>
      </c>
      <c r="Y99" s="117">
        <f t="shared" si="29"/>
        <v>19</v>
      </c>
      <c r="Z99" s="117" t="str">
        <f t="shared" si="30"/>
        <v>10/19</v>
      </c>
      <c r="AA99" s="117" t="str">
        <f t="shared" si="31"/>
        <v>△</v>
      </c>
      <c r="AB99" s="14">
        <f>IF(T99&lt;&gt;"",H99,"")</f>
      </c>
      <c r="AC99" s="117" t="str">
        <f>+Z99&amp;" "&amp;AA99&amp;" "&amp;T99&amp;"-"&amp;U99&amp;" "&amp;O99</f>
        <v>10/19 △ - かちかち山</v>
      </c>
      <c r="AD99" s="14">
        <f>+J99</f>
        <v>0</v>
      </c>
      <c r="AE99" s="14">
        <f>+J100</f>
        <v>0</v>
      </c>
      <c r="AF99" s="14">
        <f>+L99</f>
        <v>0</v>
      </c>
      <c r="AG99" s="14">
        <f>+L100</f>
        <v>0</v>
      </c>
      <c r="AH99" s="121">
        <f t="shared" si="20"/>
        <v>40469</v>
      </c>
      <c r="AL99" s="164">
        <v>3</v>
      </c>
      <c r="AM99" s="166" t="str">
        <f>+AM67</f>
        <v>Ｆ</v>
      </c>
      <c r="AN99" s="166"/>
      <c r="AO99" s="166" t="str">
        <f>+AM69</f>
        <v>G</v>
      </c>
      <c r="AP99" s="164"/>
    </row>
    <row r="100" spans="1:42" ht="15.75" customHeight="1">
      <c r="A100" s="289"/>
      <c r="B100" s="292"/>
      <c r="C100" s="294" t="s">
        <v>242</v>
      </c>
      <c r="D100" s="309"/>
      <c r="E100" s="281"/>
      <c r="F100" s="286"/>
      <c r="G100" s="85" t="str">
        <f>LEFT(VLOOKUP(G99,'参加チーム'!$B$5:$G$73,6,FALSE),2)</f>
        <v>岩手</v>
      </c>
      <c r="H100" s="317"/>
      <c r="I100" s="281"/>
      <c r="J100" s="116"/>
      <c r="K100" s="302"/>
      <c r="L100" s="116"/>
      <c r="M100" s="281"/>
      <c r="N100" s="85" t="str">
        <f>LEFT(VLOOKUP(N99,'参加チーム'!$B$5:$G$73,6,FALSE),2)</f>
        <v>福島</v>
      </c>
      <c r="O100" s="317"/>
      <c r="P100" s="307"/>
      <c r="Q100" s="323"/>
      <c r="S100" s="20" t="str">
        <f>+"後"&amp;N99&amp;G99</f>
        <v>後ＣＥ</v>
      </c>
      <c r="T100" s="16">
        <f>+M99</f>
      </c>
      <c r="U100" s="16">
        <f>+I99</f>
      </c>
      <c r="V100" s="21">
        <f>+B97</f>
        <v>40469</v>
      </c>
      <c r="X100" s="117">
        <f t="shared" si="28"/>
        <v>10</v>
      </c>
      <c r="Y100" s="117">
        <f t="shared" si="29"/>
        <v>19</v>
      </c>
      <c r="Z100" s="117" t="str">
        <f t="shared" si="30"/>
        <v>10/19</v>
      </c>
      <c r="AA100" s="117" t="str">
        <f t="shared" si="31"/>
        <v>△</v>
      </c>
      <c r="AB100" s="14">
        <f>IF(T100&lt;&gt;"",O99,"")</f>
      </c>
      <c r="AC100" s="117" t="str">
        <f>+Z100&amp;" "&amp;AA100&amp;" "&amp;T100&amp;"-"&amp;U100&amp;" "&amp;H99</f>
        <v>10/19 △ - Sabedoria</v>
      </c>
      <c r="AD100" s="14">
        <f>+L99</f>
        <v>0</v>
      </c>
      <c r="AE100" s="14">
        <f>+L100</f>
        <v>0</v>
      </c>
      <c r="AF100" s="14">
        <f>+J99</f>
        <v>0</v>
      </c>
      <c r="AG100" s="14">
        <f>+J100</f>
        <v>0</v>
      </c>
      <c r="AH100" s="121">
        <f t="shared" si="20"/>
        <v>40469</v>
      </c>
      <c r="AL100" s="164"/>
      <c r="AM100" s="166"/>
      <c r="AN100" s="166"/>
      <c r="AO100" s="166"/>
      <c r="AP100" s="164"/>
    </row>
    <row r="101" spans="1:42" ht="15.75" customHeight="1">
      <c r="A101" s="289"/>
      <c r="B101" s="292"/>
      <c r="C101" s="295"/>
      <c r="D101" s="304">
        <v>3</v>
      </c>
      <c r="E101" s="283">
        <v>0.5277777777777778</v>
      </c>
      <c r="F101" s="282">
        <v>0.5902777777777778</v>
      </c>
      <c r="G101" s="86" t="str">
        <f>VLOOKUP(D101,AL97:AP104,IF(VLOOKUP(D101,AL97:AP104,5,FALSE)=1,4,2),FALSE)</f>
        <v>Ｆ</v>
      </c>
      <c r="H101" s="316" t="str">
        <f>IF(G101&lt;&gt;"",VLOOKUP(G101,'参加チーム'!$B$5:$G$73,IF($N$2=1,4,5),FALSE),"")</f>
        <v>volviendo</v>
      </c>
      <c r="I101" s="304">
        <f>IF(J101&lt;&gt;"",J101+J102,"")</f>
      </c>
      <c r="J101" s="116"/>
      <c r="K101" s="303" t="s">
        <v>120</v>
      </c>
      <c r="L101" s="116"/>
      <c r="M101" s="304">
        <f>IF(L101&lt;&gt;"",L101+L102,"")</f>
      </c>
      <c r="N101" s="86" t="str">
        <f>VLOOKUP(D101,AL97:AP104,IF(VLOOKUP(D101,AL97:AP104,5,FALSE)=1,2,4),FALSE)</f>
        <v>G</v>
      </c>
      <c r="O101" s="316" t="str">
        <f>IF(N101&lt;&gt;"",VLOOKUP(N101,'参加チーム'!$B$5:$G$73,IF($N$2=1,4,5),FALSE),"")</f>
        <v>D-GUCCI</v>
      </c>
      <c r="P101" s="325" t="str">
        <f>+O101</f>
        <v>D-GUCCI</v>
      </c>
      <c r="Q101" s="323"/>
      <c r="S101" s="20" t="str">
        <f>+"後"&amp;G101&amp;N101</f>
        <v>後ＦG</v>
      </c>
      <c r="T101" s="16">
        <f>+I101</f>
      </c>
      <c r="U101" s="16">
        <f>+M101</f>
      </c>
      <c r="V101" s="21">
        <f>+B97</f>
        <v>40469</v>
      </c>
      <c r="X101" s="117">
        <f t="shared" si="28"/>
        <v>10</v>
      </c>
      <c r="Y101" s="117">
        <f t="shared" si="29"/>
        <v>19</v>
      </c>
      <c r="Z101" s="117" t="str">
        <f t="shared" si="30"/>
        <v>10/19</v>
      </c>
      <c r="AA101" s="117" t="str">
        <f t="shared" si="31"/>
        <v>△</v>
      </c>
      <c r="AB101" s="14">
        <f>IF(T101&lt;&gt;"",H101,"")</f>
      </c>
      <c r="AC101" s="117" t="str">
        <f>+Z101&amp;" "&amp;AA101&amp;" "&amp;T101&amp;"-"&amp;U101&amp;" "&amp;O101</f>
        <v>10/19 △ - D-GUCCI</v>
      </c>
      <c r="AD101" s="14">
        <f>+J101</f>
        <v>0</v>
      </c>
      <c r="AE101" s="14">
        <f>+J102</f>
        <v>0</v>
      </c>
      <c r="AF101" s="14">
        <f>+L101</f>
        <v>0</v>
      </c>
      <c r="AG101" s="14">
        <f>+L102</f>
        <v>0</v>
      </c>
      <c r="AH101" s="121">
        <f t="shared" si="20"/>
        <v>40469</v>
      </c>
      <c r="AL101" s="164">
        <v>1</v>
      </c>
      <c r="AM101" s="166" t="str">
        <f>+AO65</f>
        <v>H</v>
      </c>
      <c r="AN101" s="166"/>
      <c r="AO101" s="166" t="str">
        <f>+AO71</f>
        <v>Ｄ</v>
      </c>
      <c r="AP101" s="164"/>
    </row>
    <row r="102" spans="1:42" ht="15.75" customHeight="1">
      <c r="A102" s="289"/>
      <c r="B102" s="292"/>
      <c r="C102" s="295"/>
      <c r="D102" s="281"/>
      <c r="E102" s="284"/>
      <c r="F102" s="286"/>
      <c r="G102" s="85" t="str">
        <f>LEFT(VLOOKUP(G101,'参加チーム'!$B$5:$G$73,6,FALSE),2)</f>
        <v>福島</v>
      </c>
      <c r="H102" s="317"/>
      <c r="I102" s="281"/>
      <c r="J102" s="116"/>
      <c r="K102" s="302"/>
      <c r="L102" s="116"/>
      <c r="M102" s="281"/>
      <c r="N102" s="85" t="str">
        <f>LEFT(VLOOKUP(N101,'参加チーム'!$B$5:$G$73,6,FALSE),2)</f>
        <v>宮城</v>
      </c>
      <c r="O102" s="317"/>
      <c r="P102" s="307"/>
      <c r="Q102" s="323"/>
      <c r="S102" s="20" t="str">
        <f>+"後"&amp;N101&amp;G101</f>
        <v>後GＦ</v>
      </c>
      <c r="T102" s="16">
        <f>+M101</f>
      </c>
      <c r="U102" s="16">
        <f>+I101</f>
      </c>
      <c r="V102" s="21">
        <f>+B97</f>
        <v>40469</v>
      </c>
      <c r="X102" s="117">
        <f t="shared" si="28"/>
        <v>10</v>
      </c>
      <c r="Y102" s="117">
        <f t="shared" si="29"/>
        <v>19</v>
      </c>
      <c r="Z102" s="117" t="str">
        <f t="shared" si="30"/>
        <v>10/19</v>
      </c>
      <c r="AA102" s="117" t="str">
        <f t="shared" si="31"/>
        <v>△</v>
      </c>
      <c r="AB102" s="14">
        <f>IF(T102&lt;&gt;"",O101,"")</f>
      </c>
      <c r="AC102" s="117" t="str">
        <f>+Z102&amp;" "&amp;AA102&amp;" "&amp;T102&amp;"-"&amp;U102&amp;" "&amp;H101</f>
        <v>10/19 △ - volviendo</v>
      </c>
      <c r="AD102" s="14">
        <f>+L101</f>
        <v>0</v>
      </c>
      <c r="AE102" s="14">
        <f>+L102</f>
        <v>0</v>
      </c>
      <c r="AF102" s="14">
        <f>+J101</f>
        <v>0</v>
      </c>
      <c r="AG102" s="14">
        <f>+J102</f>
        <v>0</v>
      </c>
      <c r="AH102" s="121">
        <f t="shared" si="20"/>
        <v>40469</v>
      </c>
      <c r="AL102" s="164"/>
      <c r="AM102" s="166"/>
      <c r="AN102" s="166"/>
      <c r="AO102" s="166"/>
      <c r="AP102" s="164"/>
    </row>
    <row r="103" spans="1:42" ht="15.75" customHeight="1">
      <c r="A103" s="289"/>
      <c r="B103" s="292"/>
      <c r="C103" s="295"/>
      <c r="D103" s="297">
        <v>4</v>
      </c>
      <c r="E103" s="283">
        <v>0.6041666666666666</v>
      </c>
      <c r="F103" s="282">
        <v>0.6666666666666666</v>
      </c>
      <c r="G103" s="86" t="str">
        <f>VLOOKUP(D103,AL97:AP104,IF(VLOOKUP(D103,AL97:AP104,5,FALSE)=1,4,2),FALSE)</f>
        <v>Ｂ</v>
      </c>
      <c r="H103" s="319" t="str">
        <f>IF(G103&lt;&gt;"",VLOOKUP(G103,'参加チーム'!$B$5:$G$73,IF($N$2=1,4,5),FALSE),"")</f>
        <v>ヴォスクオーレ</v>
      </c>
      <c r="I103" s="304">
        <f>IF(J103&lt;&gt;"",J103+J104,"")</f>
      </c>
      <c r="J103" s="116"/>
      <c r="K103" s="303" t="s">
        <v>120</v>
      </c>
      <c r="L103" s="116"/>
      <c r="M103" s="304">
        <f>IF(L103&lt;&gt;"",L103+L104,"")</f>
      </c>
      <c r="N103" s="86" t="str">
        <f>VLOOKUP(D103,AL97:AP104,IF(VLOOKUP(D103,AL97:AP104,5,FALSE)=1,2,4),FALSE)</f>
        <v>Ａ</v>
      </c>
      <c r="O103" s="319" t="str">
        <f>IF(N103&lt;&gt;"",VLOOKUP(N103,'参加チーム'!$B$5:$G$73,IF($N$2=1,4,5),FALSE),"")</f>
        <v>BANFF</v>
      </c>
      <c r="P103" s="325" t="str">
        <f>+O103</f>
        <v>BANFF</v>
      </c>
      <c r="Q103" s="323"/>
      <c r="S103" s="20" t="str">
        <f>+"後"&amp;G103&amp;N103</f>
        <v>後ＢＡ</v>
      </c>
      <c r="T103" s="16">
        <f>+I103</f>
      </c>
      <c r="U103" s="16">
        <f>+M103</f>
      </c>
      <c r="V103" s="21">
        <f>+B97</f>
        <v>40469</v>
      </c>
      <c r="X103" s="117">
        <f t="shared" si="28"/>
        <v>10</v>
      </c>
      <c r="Y103" s="117">
        <f t="shared" si="29"/>
        <v>19</v>
      </c>
      <c r="Z103" s="117" t="str">
        <f t="shared" si="30"/>
        <v>10/19</v>
      </c>
      <c r="AA103" s="117" t="str">
        <f t="shared" si="31"/>
        <v>△</v>
      </c>
      <c r="AB103" s="14">
        <f>IF(T103&lt;&gt;"",H103,"")</f>
      </c>
      <c r="AC103" s="117" t="str">
        <f>+Z103&amp;" "&amp;AA103&amp;" "&amp;T103&amp;"-"&amp;U103&amp;" "&amp;O103</f>
        <v>10/19 △ - BANFF</v>
      </c>
      <c r="AD103" s="14">
        <f>+J103</f>
        <v>0</v>
      </c>
      <c r="AE103" s="14">
        <f>+J104</f>
        <v>0</v>
      </c>
      <c r="AF103" s="14">
        <f>+L103</f>
        <v>0</v>
      </c>
      <c r="AG103" s="14">
        <f>+L104</f>
        <v>0</v>
      </c>
      <c r="AH103" s="121">
        <f t="shared" si="20"/>
        <v>40469</v>
      </c>
      <c r="AL103" s="164">
        <v>2</v>
      </c>
      <c r="AM103" s="166" t="str">
        <f>+AO67</f>
        <v>Ｃ</v>
      </c>
      <c r="AN103" s="166"/>
      <c r="AO103" s="166" t="str">
        <f>+AO69</f>
        <v>Ｅ</v>
      </c>
      <c r="AP103" s="164">
        <v>1</v>
      </c>
    </row>
    <row r="104" spans="1:42" ht="15.75" customHeight="1" thickBot="1">
      <c r="A104" s="290"/>
      <c r="B104" s="293"/>
      <c r="C104" s="296"/>
      <c r="D104" s="298"/>
      <c r="E104" s="285"/>
      <c r="F104" s="287"/>
      <c r="G104" s="124" t="str">
        <f>LEFT(VLOOKUP(G103,'参加チーム'!$B$5:$G$73,6,FALSE),2)</f>
        <v>宮城</v>
      </c>
      <c r="H104" s="320"/>
      <c r="I104" s="305"/>
      <c r="J104" s="125"/>
      <c r="K104" s="321"/>
      <c r="L104" s="125"/>
      <c r="M104" s="305"/>
      <c r="N104" s="124" t="str">
        <f>LEFT(VLOOKUP(N103,'参加チーム'!$B$5:$G$73,6,FALSE),2)</f>
        <v>宮城</v>
      </c>
      <c r="O104" s="320"/>
      <c r="P104" s="315"/>
      <c r="Q104" s="324"/>
      <c r="S104" s="22" t="str">
        <f>+"後"&amp;N103&amp;G103</f>
        <v>後ＡＢ</v>
      </c>
      <c r="T104" s="23">
        <f>+M103</f>
      </c>
      <c r="U104" s="23">
        <f>+I103</f>
      </c>
      <c r="V104" s="24">
        <f>+B97</f>
        <v>40469</v>
      </c>
      <c r="X104" s="117">
        <f t="shared" si="28"/>
        <v>10</v>
      </c>
      <c r="Y104" s="117">
        <f t="shared" si="29"/>
        <v>19</v>
      </c>
      <c r="Z104" s="117" t="str">
        <f t="shared" si="30"/>
        <v>10/19</v>
      </c>
      <c r="AA104" s="117" t="str">
        <f t="shared" si="31"/>
        <v>△</v>
      </c>
      <c r="AB104" s="14">
        <f>IF(T104&lt;&gt;"",O103,"")</f>
      </c>
      <c r="AC104" s="117" t="str">
        <f>+Z104&amp;" "&amp;AA104&amp;" "&amp;T104&amp;"-"&amp;U104&amp;" "&amp;H103</f>
        <v>10/19 △ - ヴォスクオーレ</v>
      </c>
      <c r="AD104" s="14">
        <f>+L103</f>
        <v>0</v>
      </c>
      <c r="AE104" s="14">
        <f>+L104</f>
        <v>0</v>
      </c>
      <c r="AF104" s="14">
        <f>+J103</f>
        <v>0</v>
      </c>
      <c r="AG104" s="14">
        <f>+J104</f>
        <v>0</v>
      </c>
      <c r="AH104" s="121">
        <f t="shared" si="20"/>
        <v>40469</v>
      </c>
      <c r="AL104" s="164"/>
      <c r="AM104" s="166"/>
      <c r="AN104" s="166"/>
      <c r="AO104" s="166"/>
      <c r="AP104" s="164"/>
    </row>
    <row r="105" spans="1:42" ht="15.75" customHeight="1">
      <c r="A105" s="288">
        <v>13</v>
      </c>
      <c r="B105" s="291">
        <v>40511</v>
      </c>
      <c r="C105" s="314" t="s">
        <v>107</v>
      </c>
      <c r="D105" s="308">
        <v>1</v>
      </c>
      <c r="E105" s="280">
        <v>0.3958333333333333</v>
      </c>
      <c r="F105" s="280">
        <v>0.4375</v>
      </c>
      <c r="G105" s="84" t="str">
        <f>VLOOKUP(D105,AL105:AP112,IF(VLOOKUP(D105,AL105:AP112,5,FALSE)=1,4,2),FALSE)</f>
        <v>Ａ</v>
      </c>
      <c r="H105" s="318" t="str">
        <f>IF(G105&lt;&gt;"",VLOOKUP(G105,'参加チーム'!$B$5:$G$73,IF($N$2=1,4,5),FALSE),"")</f>
        <v>BANFF</v>
      </c>
      <c r="I105" s="300">
        <f>IF(J105&lt;&gt;"",J105+J106,"")</f>
      </c>
      <c r="J105" s="123"/>
      <c r="K105" s="301" t="s">
        <v>86</v>
      </c>
      <c r="L105" s="123"/>
      <c r="M105" s="300">
        <f>IF(L105&lt;&gt;"",L105+L106,"")</f>
      </c>
      <c r="N105" s="84" t="str">
        <f>VLOOKUP(D105,AL105:AP112,IF(VLOOKUP(D105,AL105:AP112,5,FALSE)=1,2,4),FALSE)</f>
        <v>Ｆ</v>
      </c>
      <c r="O105" s="318" t="str">
        <f>IF(N105&lt;&gt;"",VLOOKUP(N105,'参加チーム'!$B$5:$G$73,IF($N$2=1,4,5),FALSE),"")</f>
        <v>volviendo</v>
      </c>
      <c r="P105" s="326" t="str">
        <f>+O105</f>
        <v>volviendo</v>
      </c>
      <c r="Q105" s="322" t="str">
        <f>+O105</f>
        <v>volviendo</v>
      </c>
      <c r="S105" s="17" t="str">
        <f>+"後"&amp;G105&amp;N105</f>
        <v>後ＡＦ</v>
      </c>
      <c r="T105" s="18">
        <f>IF(I105&lt;&gt;"",I105,"")</f>
      </c>
      <c r="U105" s="18">
        <f>IF(M105&lt;&gt;"",M105,"")</f>
      </c>
      <c r="V105" s="19">
        <f>+B105</f>
        <v>40511</v>
      </c>
      <c r="X105" s="117">
        <f t="shared" si="28"/>
        <v>11</v>
      </c>
      <c r="Y105" s="117">
        <f t="shared" si="29"/>
        <v>30</v>
      </c>
      <c r="Z105" s="117" t="str">
        <f t="shared" si="30"/>
        <v>11/30</v>
      </c>
      <c r="AA105" s="117" t="str">
        <f t="shared" si="31"/>
        <v>△</v>
      </c>
      <c r="AB105" s="14">
        <f>IF(T105&lt;&gt;"",H105,"")</f>
      </c>
      <c r="AC105" s="117" t="str">
        <f>+Z105&amp;" "&amp;AA105&amp;" "&amp;T105&amp;"-"&amp;U105&amp;" "&amp;O105</f>
        <v>11/30 △ - volviendo</v>
      </c>
      <c r="AD105" s="14">
        <f>+J105</f>
        <v>0</v>
      </c>
      <c r="AE105" s="14">
        <f>+J106</f>
        <v>0</v>
      </c>
      <c r="AF105" s="14">
        <f>+L105</f>
        <v>0</v>
      </c>
      <c r="AG105" s="14">
        <f>+L106</f>
        <v>0</v>
      </c>
      <c r="AH105" s="121">
        <f t="shared" si="20"/>
        <v>40511</v>
      </c>
      <c r="AL105" s="164">
        <v>2</v>
      </c>
      <c r="AM105" s="165" t="str">
        <f>+AM97</f>
        <v>Ｂ</v>
      </c>
      <c r="AN105" s="165"/>
      <c r="AO105" s="165" t="str">
        <f>+AO99</f>
        <v>G</v>
      </c>
      <c r="AP105" s="164">
        <v>1</v>
      </c>
    </row>
    <row r="106" spans="1:42" ht="15.75" customHeight="1">
      <c r="A106" s="289"/>
      <c r="B106" s="292"/>
      <c r="C106" s="311"/>
      <c r="D106" s="309"/>
      <c r="E106" s="281"/>
      <c r="F106" s="286"/>
      <c r="G106" s="85" t="str">
        <f>LEFT(VLOOKUP(G105,'参加チーム'!$B$5:$G$73,6,FALSE),2)</f>
        <v>宮城</v>
      </c>
      <c r="H106" s="317"/>
      <c r="I106" s="281"/>
      <c r="J106" s="116"/>
      <c r="K106" s="302"/>
      <c r="L106" s="116"/>
      <c r="M106" s="281"/>
      <c r="N106" s="85" t="str">
        <f>LEFT(VLOOKUP(N105,'参加チーム'!$B$5:$G$73,6,FALSE),2)</f>
        <v>福島</v>
      </c>
      <c r="O106" s="317"/>
      <c r="P106" s="307"/>
      <c r="Q106" s="323"/>
      <c r="S106" s="20" t="str">
        <f>+"後"&amp;N105&amp;G105</f>
        <v>後ＦＡ</v>
      </c>
      <c r="T106" s="16">
        <f>IF(M105&lt;&gt;"",M105,"")</f>
      </c>
      <c r="U106" s="16">
        <f>IF(I105&lt;&gt;"",I105,"")</f>
      </c>
      <c r="V106" s="21">
        <f>+B105</f>
        <v>40511</v>
      </c>
      <c r="X106" s="117">
        <f t="shared" si="28"/>
        <v>11</v>
      </c>
      <c r="Y106" s="117">
        <f t="shared" si="29"/>
        <v>30</v>
      </c>
      <c r="Z106" s="117" t="str">
        <f t="shared" si="30"/>
        <v>11/30</v>
      </c>
      <c r="AA106" s="117" t="str">
        <f t="shared" si="31"/>
        <v>△</v>
      </c>
      <c r="AB106" s="14">
        <f>IF(T106&lt;&gt;"",O105,"")</f>
      </c>
      <c r="AC106" s="117" t="str">
        <f>+Z106&amp;" "&amp;AA106&amp;" "&amp;T106&amp;"-"&amp;U106&amp;" "&amp;H105</f>
        <v>11/30 △ - BANFF</v>
      </c>
      <c r="AD106" s="14">
        <f>+L105</f>
        <v>0</v>
      </c>
      <c r="AE106" s="14">
        <f>+L106</f>
        <v>0</v>
      </c>
      <c r="AF106" s="14">
        <f>+J105</f>
        <v>0</v>
      </c>
      <c r="AG106" s="14">
        <f>+J106</f>
        <v>0</v>
      </c>
      <c r="AH106" s="121">
        <f t="shared" si="20"/>
        <v>40511</v>
      </c>
      <c r="AL106" s="164"/>
      <c r="AM106" s="165"/>
      <c r="AN106" s="165"/>
      <c r="AO106" s="165"/>
      <c r="AP106" s="164"/>
    </row>
    <row r="107" spans="1:42" ht="15.75" customHeight="1">
      <c r="A107" s="289"/>
      <c r="B107" s="292"/>
      <c r="C107" s="311"/>
      <c r="D107" s="297">
        <v>2</v>
      </c>
      <c r="E107" s="282">
        <v>0.45138888888888895</v>
      </c>
      <c r="F107" s="282">
        <v>0.513888888888889</v>
      </c>
      <c r="G107" s="86" t="str">
        <f>VLOOKUP(D107,AL105:AP112,IF(VLOOKUP(D107,AL105:AP112,5,FALSE)=1,4,2),FALSE)</f>
        <v>G</v>
      </c>
      <c r="H107" s="316" t="str">
        <f>IF(G107&lt;&gt;"",VLOOKUP(G107,'参加チーム'!$B$5:$G$73,IF($N$2=1,4,5),FALSE),"")</f>
        <v>D-GUCCI</v>
      </c>
      <c r="I107" s="304">
        <f>IF(J107&lt;&gt;"",J107+J108,"")</f>
      </c>
      <c r="J107" s="116"/>
      <c r="K107" s="303" t="s">
        <v>120</v>
      </c>
      <c r="L107" s="116"/>
      <c r="M107" s="304">
        <f>IF(L107&lt;&gt;"",L107+L108,"")</f>
      </c>
      <c r="N107" s="86" t="str">
        <f>VLOOKUP(D107,AL105:AP112,IF(VLOOKUP(D107,AL105:AP112,5,FALSE)=1,2,4),FALSE)</f>
        <v>Ｂ</v>
      </c>
      <c r="O107" s="316" t="str">
        <f>IF(N107&lt;&gt;"",VLOOKUP(N107,'参加チーム'!$B$5:$G$73,IF($N$2=1,4,5),FALSE),"")</f>
        <v>ヴォスクオーレ</v>
      </c>
      <c r="P107" s="325" t="str">
        <f>+O107</f>
        <v>ヴォスクオーレ</v>
      </c>
      <c r="Q107" s="323"/>
      <c r="S107" s="20" t="str">
        <f>+"後"&amp;G107&amp;N107</f>
        <v>後GＢ</v>
      </c>
      <c r="T107" s="16">
        <f>+I107</f>
      </c>
      <c r="U107" s="16">
        <f>+M107</f>
      </c>
      <c r="V107" s="21">
        <f>+B105</f>
        <v>40511</v>
      </c>
      <c r="X107" s="117">
        <f t="shared" si="28"/>
        <v>11</v>
      </c>
      <c r="Y107" s="117">
        <f t="shared" si="29"/>
        <v>30</v>
      </c>
      <c r="Z107" s="117" t="str">
        <f t="shared" si="30"/>
        <v>11/30</v>
      </c>
      <c r="AA107" s="117" t="str">
        <f t="shared" si="31"/>
        <v>△</v>
      </c>
      <c r="AB107" s="14">
        <f>IF(T107&lt;&gt;"",H107,"")</f>
      </c>
      <c r="AC107" s="117" t="str">
        <f>+Z107&amp;" "&amp;AA107&amp;" "&amp;T107&amp;"-"&amp;U107&amp;" "&amp;O107</f>
        <v>11/30 △ - ヴォスクオーレ</v>
      </c>
      <c r="AD107" s="14">
        <f>+J107</f>
        <v>0</v>
      </c>
      <c r="AE107" s="14">
        <f>+J108</f>
        <v>0</v>
      </c>
      <c r="AF107" s="14">
        <f>+L107</f>
        <v>0</v>
      </c>
      <c r="AG107" s="14">
        <f>+L108</f>
        <v>0</v>
      </c>
      <c r="AH107" s="121">
        <f t="shared" si="20"/>
        <v>40511</v>
      </c>
      <c r="AL107" s="164">
        <v>1</v>
      </c>
      <c r="AM107" s="165" t="str">
        <f>+AM99</f>
        <v>Ｆ</v>
      </c>
      <c r="AN107" s="165"/>
      <c r="AO107" s="165" t="str">
        <f>+AO97</f>
        <v>Ａ</v>
      </c>
      <c r="AP107" s="164">
        <v>1</v>
      </c>
    </row>
    <row r="108" spans="1:42" ht="15.75" customHeight="1">
      <c r="A108" s="289"/>
      <c r="B108" s="292"/>
      <c r="C108" s="294" t="s">
        <v>119</v>
      </c>
      <c r="D108" s="309"/>
      <c r="E108" s="281"/>
      <c r="F108" s="286"/>
      <c r="G108" s="85" t="str">
        <f>LEFT(VLOOKUP(G107,'参加チーム'!$B$5:$G$73,6,FALSE),2)</f>
        <v>宮城</v>
      </c>
      <c r="H108" s="317"/>
      <c r="I108" s="281"/>
      <c r="J108" s="116"/>
      <c r="K108" s="302"/>
      <c r="L108" s="116"/>
      <c r="M108" s="281"/>
      <c r="N108" s="85" t="str">
        <f>LEFT(VLOOKUP(N107,'参加チーム'!$B$5:$G$73,6,FALSE),2)</f>
        <v>宮城</v>
      </c>
      <c r="O108" s="317"/>
      <c r="P108" s="307"/>
      <c r="Q108" s="323"/>
      <c r="S108" s="20" t="str">
        <f>+"後"&amp;N107&amp;G107</f>
        <v>後ＢG</v>
      </c>
      <c r="T108" s="16">
        <f>+M107</f>
      </c>
      <c r="U108" s="16">
        <f>+I107</f>
      </c>
      <c r="V108" s="21">
        <f>+B105</f>
        <v>40511</v>
      </c>
      <c r="X108" s="117">
        <f t="shared" si="28"/>
        <v>11</v>
      </c>
      <c r="Y108" s="117">
        <f t="shared" si="29"/>
        <v>30</v>
      </c>
      <c r="Z108" s="117" t="str">
        <f t="shared" si="30"/>
        <v>11/30</v>
      </c>
      <c r="AA108" s="117" t="str">
        <f t="shared" si="31"/>
        <v>△</v>
      </c>
      <c r="AB108" s="14">
        <f>IF(T108&lt;&gt;"",O107,"")</f>
      </c>
      <c r="AC108" s="117" t="str">
        <f>+Z108&amp;" "&amp;AA108&amp;" "&amp;T108&amp;"-"&amp;U108&amp;" "&amp;H107</f>
        <v>11/30 △ - D-GUCCI</v>
      </c>
      <c r="AD108" s="14">
        <f>+L107</f>
        <v>0</v>
      </c>
      <c r="AE108" s="14">
        <f>+L108</f>
        <v>0</v>
      </c>
      <c r="AF108" s="14">
        <f>+J107</f>
        <v>0</v>
      </c>
      <c r="AG108" s="14">
        <f>+J108</f>
        <v>0</v>
      </c>
      <c r="AH108" s="121">
        <f t="shared" si="20"/>
        <v>40511</v>
      </c>
      <c r="AL108" s="164"/>
      <c r="AM108" s="165"/>
      <c r="AN108" s="165"/>
      <c r="AO108" s="165"/>
      <c r="AP108" s="164"/>
    </row>
    <row r="109" spans="1:42" ht="15.75" customHeight="1">
      <c r="A109" s="289"/>
      <c r="B109" s="292"/>
      <c r="C109" s="295"/>
      <c r="D109" s="304">
        <v>3</v>
      </c>
      <c r="E109" s="283">
        <v>0.5277777777777778</v>
      </c>
      <c r="F109" s="282">
        <v>0.5902777777777778</v>
      </c>
      <c r="G109" s="86" t="str">
        <f>VLOOKUP(D109,AL105:AP112,IF(VLOOKUP(D109,AL105:AP112,5,FALSE)=1,4,2),FALSE)</f>
        <v>H</v>
      </c>
      <c r="H109" s="316" t="str">
        <f>IF(G109&lt;&gt;"",VLOOKUP(G109,'参加チーム'!$B$5:$G$73,IF($N$2=1,4,5),FALSE),"")</f>
        <v>CROSS</v>
      </c>
      <c r="I109" s="304">
        <f>IF(J109&lt;&gt;"",J109+J110,"")</f>
      </c>
      <c r="J109" s="116"/>
      <c r="K109" s="303" t="s">
        <v>120</v>
      </c>
      <c r="L109" s="116"/>
      <c r="M109" s="304">
        <f>IF(L109&lt;&gt;"",L109+L110,"")</f>
      </c>
      <c r="N109" s="86" t="str">
        <f>VLOOKUP(D109,AL105:AP112,IF(VLOOKUP(D109,AL105:AP112,5,FALSE)=1,2,4),FALSE)</f>
        <v>Ｅ</v>
      </c>
      <c r="O109" s="316" t="str">
        <f>IF(N109&lt;&gt;"",VLOOKUP(N109,'参加チーム'!$B$5:$G$73,IF($N$2=1,4,5),FALSE),"")</f>
        <v>Sabedoria</v>
      </c>
      <c r="P109" s="325" t="str">
        <f>+O109</f>
        <v>Sabedoria</v>
      </c>
      <c r="Q109" s="323"/>
      <c r="S109" s="20" t="str">
        <f>+"後"&amp;G109&amp;N109</f>
        <v>後HＥ</v>
      </c>
      <c r="T109" s="16">
        <f>+I109</f>
      </c>
      <c r="U109" s="16">
        <f>+M109</f>
      </c>
      <c r="V109" s="21">
        <f>+B105</f>
        <v>40511</v>
      </c>
      <c r="X109" s="117">
        <f t="shared" si="28"/>
        <v>11</v>
      </c>
      <c r="Y109" s="117">
        <f t="shared" si="29"/>
        <v>30</v>
      </c>
      <c r="Z109" s="117" t="str">
        <f t="shared" si="30"/>
        <v>11/30</v>
      </c>
      <c r="AA109" s="117" t="str">
        <f t="shared" si="31"/>
        <v>△</v>
      </c>
      <c r="AB109" s="14">
        <f>IF(T109&lt;&gt;"",H109,"")</f>
      </c>
      <c r="AC109" s="117" t="str">
        <f>+Z109&amp;" "&amp;AA109&amp;" "&amp;T109&amp;"-"&amp;U109&amp;" "&amp;O109</f>
        <v>11/30 △ - Sabedoria</v>
      </c>
      <c r="AD109" s="14">
        <f>+J109</f>
        <v>0</v>
      </c>
      <c r="AE109" s="14">
        <f>+J110</f>
        <v>0</v>
      </c>
      <c r="AF109" s="14">
        <f>+L109</f>
        <v>0</v>
      </c>
      <c r="AG109" s="14">
        <f>+L110</f>
        <v>0</v>
      </c>
      <c r="AH109" s="121">
        <f t="shared" si="20"/>
        <v>40511</v>
      </c>
      <c r="AL109" s="164">
        <v>3</v>
      </c>
      <c r="AM109" s="165" t="str">
        <f>+AM101</f>
        <v>H</v>
      </c>
      <c r="AN109" s="165"/>
      <c r="AO109" s="165" t="str">
        <f>+AO103</f>
        <v>Ｅ</v>
      </c>
      <c r="AP109" s="164"/>
    </row>
    <row r="110" spans="1:42" ht="15.75" customHeight="1">
      <c r="A110" s="289"/>
      <c r="B110" s="292"/>
      <c r="C110" s="295"/>
      <c r="D110" s="281"/>
      <c r="E110" s="284"/>
      <c r="F110" s="286"/>
      <c r="G110" s="85" t="str">
        <f>LEFT(VLOOKUP(G109,'参加チーム'!$B$5:$G$73,6,FALSE),2)</f>
        <v>岩手</v>
      </c>
      <c r="H110" s="317"/>
      <c r="I110" s="281"/>
      <c r="J110" s="116"/>
      <c r="K110" s="302"/>
      <c r="L110" s="116"/>
      <c r="M110" s="281"/>
      <c r="N110" s="85" t="str">
        <f>LEFT(VLOOKUP(N109,'参加チーム'!$B$5:$G$73,6,FALSE),2)</f>
        <v>岩手</v>
      </c>
      <c r="O110" s="317"/>
      <c r="P110" s="307"/>
      <c r="Q110" s="323"/>
      <c r="S110" s="20" t="str">
        <f>+"後"&amp;N109&amp;G109</f>
        <v>後ＥH</v>
      </c>
      <c r="T110" s="16">
        <f>+M109</f>
      </c>
      <c r="U110" s="16">
        <f>+I109</f>
      </c>
      <c r="V110" s="21">
        <f>+B105</f>
        <v>40511</v>
      </c>
      <c r="X110" s="117">
        <f t="shared" si="28"/>
        <v>11</v>
      </c>
      <c r="Y110" s="117">
        <f t="shared" si="29"/>
        <v>30</v>
      </c>
      <c r="Z110" s="117" t="str">
        <f t="shared" si="30"/>
        <v>11/30</v>
      </c>
      <c r="AA110" s="117" t="str">
        <f t="shared" si="31"/>
        <v>△</v>
      </c>
      <c r="AB110" s="14">
        <f>IF(T110&lt;&gt;"",O109,"")</f>
      </c>
      <c r="AC110" s="117" t="str">
        <f>+Z110&amp;" "&amp;AA110&amp;" "&amp;T110&amp;"-"&amp;U110&amp;" "&amp;H109</f>
        <v>11/30 △ - CROSS</v>
      </c>
      <c r="AD110" s="14">
        <f>+L109</f>
        <v>0</v>
      </c>
      <c r="AE110" s="14">
        <f>+L110</f>
        <v>0</v>
      </c>
      <c r="AF110" s="14">
        <f>+J109</f>
        <v>0</v>
      </c>
      <c r="AG110" s="14">
        <f>+J110</f>
        <v>0</v>
      </c>
      <c r="AH110" s="121">
        <f t="shared" si="20"/>
        <v>40511</v>
      </c>
      <c r="AL110" s="164"/>
      <c r="AM110" s="165"/>
      <c r="AN110" s="165"/>
      <c r="AO110" s="165"/>
      <c r="AP110" s="164"/>
    </row>
    <row r="111" spans="1:42" ht="15.75" customHeight="1">
      <c r="A111" s="289"/>
      <c r="B111" s="292"/>
      <c r="C111" s="295"/>
      <c r="D111" s="297">
        <v>4</v>
      </c>
      <c r="E111" s="283">
        <v>0.6041666666666666</v>
      </c>
      <c r="F111" s="282">
        <v>0.6666666666666666</v>
      </c>
      <c r="G111" s="86" t="str">
        <f>VLOOKUP(D111,AL105:AP112,IF(VLOOKUP(D111,AL105:AP112,5,FALSE)=1,4,2),FALSE)</f>
        <v>Ｄ</v>
      </c>
      <c r="H111" s="319" t="str">
        <f>IF(G111&lt;&gt;"",VLOOKUP(G111,'参加チーム'!$B$5:$G$73,IF($N$2=1,4,5),FALSE),"")</f>
        <v>malva</v>
      </c>
      <c r="I111" s="304">
        <f>IF(J111&lt;&gt;"",J111+J112,"")</f>
      </c>
      <c r="J111" s="116"/>
      <c r="K111" s="303" t="s">
        <v>120</v>
      </c>
      <c r="L111" s="116"/>
      <c r="M111" s="304">
        <f>IF(L111&lt;&gt;"",L111+L112,"")</f>
      </c>
      <c r="N111" s="86" t="str">
        <f>VLOOKUP(D111,AL105:AP112,IF(VLOOKUP(D111,AL105:AP112,5,FALSE)=1,2,4),FALSE)</f>
        <v>Ｃ</v>
      </c>
      <c r="O111" s="319" t="str">
        <f>IF(N111&lt;&gt;"",VLOOKUP(N111,'参加チーム'!$B$5:$G$73,IF($N$2=1,4,5),FALSE),"")</f>
        <v>かちかち山</v>
      </c>
      <c r="P111" s="325" t="str">
        <f>+O111</f>
        <v>かちかち山</v>
      </c>
      <c r="Q111" s="323"/>
      <c r="S111" s="20" t="str">
        <f>+"後"&amp;G111&amp;N111</f>
        <v>後ＤＣ</v>
      </c>
      <c r="T111" s="16">
        <f>+I111</f>
      </c>
      <c r="U111" s="16">
        <f>+M111</f>
      </c>
      <c r="V111" s="21">
        <f>+B105</f>
        <v>40511</v>
      </c>
      <c r="X111" s="117">
        <f t="shared" si="28"/>
        <v>11</v>
      </c>
      <c r="Y111" s="117">
        <f t="shared" si="29"/>
        <v>30</v>
      </c>
      <c r="Z111" s="117" t="str">
        <f t="shared" si="30"/>
        <v>11/30</v>
      </c>
      <c r="AA111" s="117" t="str">
        <f t="shared" si="31"/>
        <v>△</v>
      </c>
      <c r="AB111" s="14">
        <f>IF(T111&lt;&gt;"",H111,"")</f>
      </c>
      <c r="AC111" s="117" t="str">
        <f>+Z111&amp;" "&amp;AA111&amp;" "&amp;T111&amp;"-"&amp;U111&amp;" "&amp;O111</f>
        <v>11/30 △ - かちかち山</v>
      </c>
      <c r="AD111" s="14">
        <f>+J111</f>
        <v>0</v>
      </c>
      <c r="AE111" s="14">
        <f>+J112</f>
        <v>0</v>
      </c>
      <c r="AF111" s="14">
        <f>+L111</f>
        <v>0</v>
      </c>
      <c r="AG111" s="14">
        <f>+L112</f>
        <v>0</v>
      </c>
      <c r="AH111" s="121">
        <f t="shared" si="20"/>
        <v>40511</v>
      </c>
      <c r="AL111" s="164">
        <v>4</v>
      </c>
      <c r="AM111" s="165" t="str">
        <f>+AM103</f>
        <v>Ｃ</v>
      </c>
      <c r="AN111" s="165"/>
      <c r="AO111" s="165" t="str">
        <f>+AO101</f>
        <v>Ｄ</v>
      </c>
      <c r="AP111" s="164">
        <v>1</v>
      </c>
    </row>
    <row r="112" spans="1:42" ht="15.75" customHeight="1" thickBot="1">
      <c r="A112" s="290"/>
      <c r="B112" s="293"/>
      <c r="C112" s="296"/>
      <c r="D112" s="298"/>
      <c r="E112" s="285"/>
      <c r="F112" s="287"/>
      <c r="G112" s="124" t="str">
        <f>LEFT(VLOOKUP(G111,'参加チーム'!$B$5:$G$73,6,FALSE),2)</f>
        <v>山形</v>
      </c>
      <c r="H112" s="320"/>
      <c r="I112" s="305"/>
      <c r="J112" s="125"/>
      <c r="K112" s="321"/>
      <c r="L112" s="125"/>
      <c r="M112" s="305"/>
      <c r="N112" s="124" t="str">
        <f>LEFT(VLOOKUP(N111,'参加チーム'!$B$5:$G$73,6,FALSE),2)</f>
        <v>福島</v>
      </c>
      <c r="O112" s="320"/>
      <c r="P112" s="315"/>
      <c r="Q112" s="324"/>
      <c r="S112" s="22" t="str">
        <f>+"後"&amp;N111&amp;G111</f>
        <v>後ＣＤ</v>
      </c>
      <c r="T112" s="23">
        <f>+M111</f>
      </c>
      <c r="U112" s="23">
        <f>+I111</f>
      </c>
      <c r="V112" s="24">
        <f>+B105</f>
        <v>40511</v>
      </c>
      <c r="X112" s="117">
        <f t="shared" si="28"/>
        <v>11</v>
      </c>
      <c r="Y112" s="117">
        <f t="shared" si="29"/>
        <v>30</v>
      </c>
      <c r="Z112" s="117" t="str">
        <f t="shared" si="30"/>
        <v>11/30</v>
      </c>
      <c r="AA112" s="117" t="str">
        <f t="shared" si="31"/>
        <v>△</v>
      </c>
      <c r="AB112" s="14">
        <f>IF(T112&lt;&gt;"",O111,"")</f>
      </c>
      <c r="AC112" s="117" t="str">
        <f>+Z112&amp;" "&amp;AA112&amp;" "&amp;T112&amp;"-"&amp;U112&amp;" "&amp;H111</f>
        <v>11/30 △ - malva</v>
      </c>
      <c r="AD112" s="14">
        <f>+L111</f>
        <v>0</v>
      </c>
      <c r="AE112" s="14">
        <f>+L112</f>
        <v>0</v>
      </c>
      <c r="AF112" s="14">
        <f>+J111</f>
        <v>0</v>
      </c>
      <c r="AG112" s="14">
        <f>+J112</f>
        <v>0</v>
      </c>
      <c r="AH112" s="121">
        <f t="shared" si="20"/>
        <v>40511</v>
      </c>
      <c r="AL112" s="164"/>
      <c r="AM112" s="165"/>
      <c r="AN112" s="165"/>
      <c r="AO112" s="165"/>
      <c r="AP112" s="164"/>
    </row>
    <row r="113" spans="1:42" ht="15.75" customHeight="1">
      <c r="A113" s="288">
        <v>14</v>
      </c>
      <c r="B113" s="291">
        <v>40532</v>
      </c>
      <c r="C113" s="314" t="s">
        <v>87</v>
      </c>
      <c r="D113" s="308">
        <v>1</v>
      </c>
      <c r="E113" s="280">
        <v>0.3958333333333333</v>
      </c>
      <c r="F113" s="280">
        <v>0.4375</v>
      </c>
      <c r="G113" s="84" t="str">
        <f>VLOOKUP(D113,AL113:AP120,IF(VLOOKUP(D113,AL113:AP120,5,FALSE)=1,4,2),FALSE)</f>
        <v>Ｃ</v>
      </c>
      <c r="H113" s="318" t="str">
        <f>IF(G113&lt;&gt;"",VLOOKUP(G113,'参加チーム'!$B$5:$G$73,IF($N$2=1,4,5),FALSE),"")</f>
        <v>かちかち山</v>
      </c>
      <c r="I113" s="300">
        <f>IF(J113&lt;&gt;"",J113+J114,"")</f>
      </c>
      <c r="J113" s="123"/>
      <c r="K113" s="301" t="s">
        <v>86</v>
      </c>
      <c r="L113" s="123"/>
      <c r="M113" s="300">
        <f>IF(L113&lt;&gt;"",L113+L114,"")</f>
      </c>
      <c r="N113" s="84" t="str">
        <f>VLOOKUP(D113,AL113:AP120,IF(VLOOKUP(D113,AL113:AP120,5,FALSE)=1,2,4),FALSE)</f>
        <v>H</v>
      </c>
      <c r="O113" s="318" t="str">
        <f>IF(N113&lt;&gt;"",VLOOKUP(N113,'参加チーム'!$B$5:$G$73,IF($N$2=1,4,5),FALSE),"")</f>
        <v>CROSS</v>
      </c>
      <c r="P113" s="326" t="str">
        <f>+O113</f>
        <v>CROSS</v>
      </c>
      <c r="Q113" s="322" t="str">
        <f>+O117</f>
        <v>BANFF</v>
      </c>
      <c r="S113" s="17" t="str">
        <f>+"後"&amp;G113&amp;N113</f>
        <v>後ＣH</v>
      </c>
      <c r="T113" s="18">
        <f>IF(I113&lt;&gt;"",I113,"")</f>
      </c>
      <c r="U113" s="18">
        <f>IF(M113&lt;&gt;"",M113,"")</f>
      </c>
      <c r="V113" s="19">
        <f>+B113</f>
        <v>40532</v>
      </c>
      <c r="X113" s="117">
        <f t="shared" si="28"/>
        <v>12</v>
      </c>
      <c r="Y113" s="117">
        <f t="shared" si="29"/>
        <v>21</v>
      </c>
      <c r="Z113" s="117" t="str">
        <f t="shared" si="30"/>
        <v>12/21</v>
      </c>
      <c r="AA113" s="117" t="str">
        <f t="shared" si="31"/>
        <v>△</v>
      </c>
      <c r="AB113" s="14">
        <f>IF(T113&lt;&gt;"",H113,"")</f>
      </c>
      <c r="AC113" s="117" t="str">
        <f>+Z113&amp;" "&amp;AA113&amp;" "&amp;T113&amp;"-"&amp;U113&amp;" "&amp;O113</f>
        <v>12/21 △ - CROSS</v>
      </c>
      <c r="AD113" s="14">
        <f>+J113</f>
        <v>0</v>
      </c>
      <c r="AE113" s="14">
        <f>+J114</f>
        <v>0</v>
      </c>
      <c r="AF113" s="14">
        <f>+L113</f>
        <v>0</v>
      </c>
      <c r="AG113" s="14">
        <f>+L114</f>
        <v>0</v>
      </c>
      <c r="AH113" s="121">
        <f t="shared" si="20"/>
        <v>40532</v>
      </c>
      <c r="AL113" s="164">
        <v>4</v>
      </c>
      <c r="AM113" s="169" t="str">
        <f>+AM65</f>
        <v>Ｂ</v>
      </c>
      <c r="AN113" s="169"/>
      <c r="AO113" s="169" t="str">
        <f>+AM67</f>
        <v>Ｆ</v>
      </c>
      <c r="AP113" s="164"/>
    </row>
    <row r="114" spans="1:42" ht="15.75" customHeight="1">
      <c r="A114" s="289"/>
      <c r="B114" s="292"/>
      <c r="C114" s="311"/>
      <c r="D114" s="309"/>
      <c r="E114" s="281"/>
      <c r="F114" s="286"/>
      <c r="G114" s="85" t="str">
        <f>LEFT(VLOOKUP(G113,'参加チーム'!$B$5:$G$73,6,FALSE),2)</f>
        <v>福島</v>
      </c>
      <c r="H114" s="317"/>
      <c r="I114" s="281"/>
      <c r="J114" s="116"/>
      <c r="K114" s="302"/>
      <c r="L114" s="116"/>
      <c r="M114" s="281"/>
      <c r="N114" s="85" t="str">
        <f>LEFT(VLOOKUP(N113,'参加チーム'!$B$5:$G$73,6,FALSE),2)</f>
        <v>岩手</v>
      </c>
      <c r="O114" s="317"/>
      <c r="P114" s="307"/>
      <c r="Q114" s="323"/>
      <c r="S114" s="20" t="str">
        <f>+"後"&amp;N113&amp;G113</f>
        <v>後HＣ</v>
      </c>
      <c r="T114" s="16">
        <f>IF(M113&lt;&gt;"",M113,"")</f>
      </c>
      <c r="U114" s="16">
        <f>IF(I113&lt;&gt;"",I113,"")</f>
      </c>
      <c r="V114" s="21">
        <f>+B113</f>
        <v>40532</v>
      </c>
      <c r="X114" s="117">
        <f t="shared" si="28"/>
        <v>12</v>
      </c>
      <c r="Y114" s="117">
        <f t="shared" si="29"/>
        <v>21</v>
      </c>
      <c r="Z114" s="117" t="str">
        <f t="shared" si="30"/>
        <v>12/21</v>
      </c>
      <c r="AA114" s="117" t="str">
        <f t="shared" si="31"/>
        <v>△</v>
      </c>
      <c r="AB114" s="14">
        <f aca="true" t="shared" si="32" ref="AB114:AB120">IF(T114&lt;&gt;"",O113,"")</f>
      </c>
      <c r="AC114" s="117" t="str">
        <f>+Z114&amp;" "&amp;AA114&amp;" "&amp;T114&amp;"-"&amp;U114&amp;" "&amp;H113</f>
        <v>12/21 △ - かちかち山</v>
      </c>
      <c r="AD114" s="14">
        <f>+L113</f>
        <v>0</v>
      </c>
      <c r="AE114" s="14">
        <f>+L114</f>
        <v>0</v>
      </c>
      <c r="AF114" s="14">
        <f>+J113</f>
        <v>0</v>
      </c>
      <c r="AG114" s="14">
        <f>+J114</f>
        <v>0</v>
      </c>
      <c r="AH114" s="121">
        <f t="shared" si="20"/>
        <v>40532</v>
      </c>
      <c r="AL114" s="164"/>
      <c r="AM114" s="169"/>
      <c r="AN114" s="169"/>
      <c r="AO114" s="169"/>
      <c r="AP114" s="164"/>
    </row>
    <row r="115" spans="1:42" ht="15.75" customHeight="1">
      <c r="A115" s="289"/>
      <c r="B115" s="292"/>
      <c r="C115" s="311"/>
      <c r="D115" s="297">
        <v>2</v>
      </c>
      <c r="E115" s="282">
        <v>0.45138888888888895</v>
      </c>
      <c r="F115" s="282">
        <v>0.513888888888889</v>
      </c>
      <c r="G115" s="86" t="str">
        <f>VLOOKUP(D115,AL113:AP120,IF(VLOOKUP(D115,AL113:AP120,5,FALSE)=1,4,2),FALSE)</f>
        <v>Ｅ</v>
      </c>
      <c r="H115" s="316" t="str">
        <f>IF(G115&lt;&gt;"",VLOOKUP(G115,'参加チーム'!$B$5:$G$73,IF($N$2=1,4,5),FALSE),"")</f>
        <v>Sabedoria</v>
      </c>
      <c r="I115" s="304">
        <f>IF(J115&lt;&gt;"",J115+J116,"")</f>
      </c>
      <c r="J115" s="116"/>
      <c r="K115" s="303" t="s">
        <v>120</v>
      </c>
      <c r="L115" s="116"/>
      <c r="M115" s="304">
        <f>IF(L115&lt;&gt;"",L115+L116,"")</f>
      </c>
      <c r="N115" s="86" t="str">
        <f>VLOOKUP(D115,AL113:AP120,IF(VLOOKUP(D115,AL113:AP120,5,FALSE)=1,2,4),FALSE)</f>
        <v>Ｄ</v>
      </c>
      <c r="O115" s="316" t="str">
        <f>IF(N115&lt;&gt;"",VLOOKUP(N115,'参加チーム'!$B$5:$G$73,IF($N$2=1,4,5),FALSE),"")</f>
        <v>malva</v>
      </c>
      <c r="P115" s="325" t="str">
        <f>+O115</f>
        <v>malva</v>
      </c>
      <c r="Q115" s="323"/>
      <c r="S115" s="20" t="str">
        <f>+"後"&amp;G115&amp;N115</f>
        <v>後ＥＤ</v>
      </c>
      <c r="T115" s="16">
        <f>+I115</f>
      </c>
      <c r="U115" s="16">
        <f>+M115</f>
      </c>
      <c r="V115" s="21">
        <f>+B113</f>
        <v>40532</v>
      </c>
      <c r="X115" s="117">
        <f t="shared" si="28"/>
        <v>12</v>
      </c>
      <c r="Y115" s="117">
        <f t="shared" si="29"/>
        <v>21</v>
      </c>
      <c r="Z115" s="117" t="str">
        <f t="shared" si="30"/>
        <v>12/21</v>
      </c>
      <c r="AA115" s="117" t="str">
        <f t="shared" si="31"/>
        <v>△</v>
      </c>
      <c r="AB115" s="14">
        <f>IF(T115&lt;&gt;"",H115,"")</f>
      </c>
      <c r="AC115" s="117" t="str">
        <f>+Z115&amp;" "&amp;AA115&amp;" "&amp;T115&amp;"-"&amp;U115&amp;" "&amp;O115</f>
        <v>12/21 △ - malva</v>
      </c>
      <c r="AD115" s="14">
        <f>+J115</f>
        <v>0</v>
      </c>
      <c r="AE115" s="14">
        <f>+J116</f>
        <v>0</v>
      </c>
      <c r="AF115" s="14">
        <f>+L115</f>
        <v>0</v>
      </c>
      <c r="AG115" s="14">
        <f>+L116</f>
        <v>0</v>
      </c>
      <c r="AH115" s="121">
        <f t="shared" si="20"/>
        <v>40532</v>
      </c>
      <c r="AL115" s="164">
        <v>3</v>
      </c>
      <c r="AM115" s="169" t="str">
        <f>+AM69</f>
        <v>G</v>
      </c>
      <c r="AN115" s="169"/>
      <c r="AO115" s="169" t="str">
        <f>+AM71</f>
        <v>Ａ</v>
      </c>
      <c r="AP115" s="164"/>
    </row>
    <row r="116" spans="1:42" ht="15.75" customHeight="1">
      <c r="A116" s="289"/>
      <c r="B116" s="292"/>
      <c r="C116" s="294" t="s">
        <v>134</v>
      </c>
      <c r="D116" s="309"/>
      <c r="E116" s="281"/>
      <c r="F116" s="286"/>
      <c r="G116" s="85" t="str">
        <f>LEFT(VLOOKUP(G115,'参加チーム'!$B$5:$G$73,6,FALSE),2)</f>
        <v>岩手</v>
      </c>
      <c r="H116" s="317"/>
      <c r="I116" s="281"/>
      <c r="J116" s="116"/>
      <c r="K116" s="302"/>
      <c r="L116" s="116"/>
      <c r="M116" s="281"/>
      <c r="N116" s="85" t="str">
        <f>LEFT(VLOOKUP(N115,'参加チーム'!$B$5:$G$73,6,FALSE),2)</f>
        <v>山形</v>
      </c>
      <c r="O116" s="317"/>
      <c r="P116" s="307"/>
      <c r="Q116" s="323"/>
      <c r="S116" s="20" t="str">
        <f>+"後"&amp;N115&amp;G115</f>
        <v>後ＤＥ</v>
      </c>
      <c r="T116" s="16">
        <f>+M115</f>
      </c>
      <c r="U116" s="16">
        <f>+I115</f>
      </c>
      <c r="V116" s="21">
        <f>+B113</f>
        <v>40532</v>
      </c>
      <c r="X116" s="117">
        <f t="shared" si="28"/>
        <v>12</v>
      </c>
      <c r="Y116" s="117">
        <f t="shared" si="29"/>
        <v>21</v>
      </c>
      <c r="Z116" s="117" t="str">
        <f t="shared" si="30"/>
        <v>12/21</v>
      </c>
      <c r="AA116" s="117" t="str">
        <f t="shared" si="31"/>
        <v>△</v>
      </c>
      <c r="AB116" s="14">
        <f t="shared" si="32"/>
      </c>
      <c r="AC116" s="117" t="str">
        <f>+Z116&amp;" "&amp;AA116&amp;" "&amp;T116&amp;"-"&amp;U116&amp;" "&amp;H115</f>
        <v>12/21 △ - Sabedoria</v>
      </c>
      <c r="AD116" s="14">
        <f>+L115</f>
        <v>0</v>
      </c>
      <c r="AE116" s="14">
        <f>+L116</f>
        <v>0</v>
      </c>
      <c r="AF116" s="14">
        <f>+J115</f>
        <v>0</v>
      </c>
      <c r="AG116" s="14">
        <f>+J116</f>
        <v>0</v>
      </c>
      <c r="AH116" s="121">
        <f t="shared" si="20"/>
        <v>40532</v>
      </c>
      <c r="AL116" s="164"/>
      <c r="AM116" s="169"/>
      <c r="AN116" s="169"/>
      <c r="AO116" s="169"/>
      <c r="AP116" s="164"/>
    </row>
    <row r="117" spans="1:42" ht="15.75" customHeight="1">
      <c r="A117" s="289"/>
      <c r="B117" s="292"/>
      <c r="C117" s="295"/>
      <c r="D117" s="304">
        <v>3</v>
      </c>
      <c r="E117" s="283">
        <v>0.5277777777777778</v>
      </c>
      <c r="F117" s="282">
        <v>0.5902777777777778</v>
      </c>
      <c r="G117" s="86" t="str">
        <f>VLOOKUP(D117,AL113:AP120,IF(VLOOKUP(D117,AL113:AP120,5,FALSE)=1,4,2),FALSE)</f>
        <v>G</v>
      </c>
      <c r="H117" s="316" t="str">
        <f>IF(G117&lt;&gt;"",VLOOKUP(G117,'参加チーム'!$B$5:$G$73,IF($N$2=1,4,5),FALSE),"")</f>
        <v>D-GUCCI</v>
      </c>
      <c r="I117" s="304">
        <f>IF(J117&lt;&gt;"",J117+J118,"")</f>
      </c>
      <c r="J117" s="116"/>
      <c r="K117" s="303" t="s">
        <v>120</v>
      </c>
      <c r="L117" s="116"/>
      <c r="M117" s="304">
        <f>IF(L117&lt;&gt;"",L117+L118,"")</f>
      </c>
      <c r="N117" s="86" t="str">
        <f>VLOOKUP(D117,AL113:AP120,IF(VLOOKUP(D117,AL113:AP120,5,FALSE)=1,2,4),FALSE)</f>
        <v>Ａ</v>
      </c>
      <c r="O117" s="316" t="str">
        <f>IF(N117&lt;&gt;"",VLOOKUP(N117,'参加チーム'!$B$5:$G$73,IF($N$2=1,4,5),FALSE),"")</f>
        <v>BANFF</v>
      </c>
      <c r="P117" s="325" t="str">
        <f>+O117</f>
        <v>BANFF</v>
      </c>
      <c r="Q117" s="323"/>
      <c r="S117" s="20" t="str">
        <f>+"後"&amp;G117&amp;N117</f>
        <v>後GＡ</v>
      </c>
      <c r="T117" s="16">
        <f>+I117</f>
      </c>
      <c r="U117" s="16">
        <f>+M117</f>
      </c>
      <c r="V117" s="21">
        <f>+B113</f>
        <v>40532</v>
      </c>
      <c r="X117" s="117">
        <f t="shared" si="28"/>
        <v>12</v>
      </c>
      <c r="Y117" s="117">
        <f t="shared" si="29"/>
        <v>21</v>
      </c>
      <c r="Z117" s="117" t="str">
        <f t="shared" si="30"/>
        <v>12/21</v>
      </c>
      <c r="AA117" s="117" t="str">
        <f t="shared" si="31"/>
        <v>△</v>
      </c>
      <c r="AB117" s="14">
        <f>IF(T117&lt;&gt;"",H117,"")</f>
      </c>
      <c r="AC117" s="117" t="str">
        <f>+Z117&amp;" "&amp;AA117&amp;" "&amp;T117&amp;"-"&amp;U117&amp;" "&amp;O117</f>
        <v>12/21 △ - BANFF</v>
      </c>
      <c r="AD117" s="14">
        <f>+J117</f>
        <v>0</v>
      </c>
      <c r="AE117" s="14">
        <f>+J118</f>
        <v>0</v>
      </c>
      <c r="AF117" s="14">
        <f>+L117</f>
        <v>0</v>
      </c>
      <c r="AG117" s="14">
        <f>+L118</f>
        <v>0</v>
      </c>
      <c r="AH117" s="121">
        <f t="shared" si="20"/>
        <v>40532</v>
      </c>
      <c r="AL117" s="164">
        <v>2</v>
      </c>
      <c r="AM117" s="169" t="str">
        <f>+AO71</f>
        <v>Ｄ</v>
      </c>
      <c r="AN117" s="169"/>
      <c r="AO117" s="169" t="str">
        <f>+AO69</f>
        <v>Ｅ</v>
      </c>
      <c r="AP117" s="164">
        <v>1</v>
      </c>
    </row>
    <row r="118" spans="1:42" ht="15.75" customHeight="1">
      <c r="A118" s="289"/>
      <c r="B118" s="292"/>
      <c r="C118" s="295"/>
      <c r="D118" s="281"/>
      <c r="E118" s="284"/>
      <c r="F118" s="286"/>
      <c r="G118" s="85" t="str">
        <f>LEFT(VLOOKUP(G117,'参加チーム'!$B$5:$G$73,6,FALSE),2)</f>
        <v>宮城</v>
      </c>
      <c r="H118" s="317"/>
      <c r="I118" s="281"/>
      <c r="J118" s="116"/>
      <c r="K118" s="302"/>
      <c r="L118" s="116"/>
      <c r="M118" s="281"/>
      <c r="N118" s="85" t="str">
        <f>LEFT(VLOOKUP(N117,'参加チーム'!$B$5:$G$73,6,FALSE),2)</f>
        <v>宮城</v>
      </c>
      <c r="O118" s="317"/>
      <c r="P118" s="307"/>
      <c r="Q118" s="323"/>
      <c r="S118" s="20" t="str">
        <f>+"後"&amp;N117&amp;G117</f>
        <v>後ＡG</v>
      </c>
      <c r="T118" s="16">
        <f>+M117</f>
      </c>
      <c r="U118" s="16">
        <f>+I117</f>
      </c>
      <c r="V118" s="21">
        <f>+B113</f>
        <v>40532</v>
      </c>
      <c r="X118" s="117">
        <f t="shared" si="28"/>
        <v>12</v>
      </c>
      <c r="Y118" s="117">
        <f t="shared" si="29"/>
        <v>21</v>
      </c>
      <c r="Z118" s="117" t="str">
        <f t="shared" si="30"/>
        <v>12/21</v>
      </c>
      <c r="AA118" s="117" t="str">
        <f t="shared" si="31"/>
        <v>△</v>
      </c>
      <c r="AB118" s="14">
        <f t="shared" si="32"/>
      </c>
      <c r="AC118" s="117" t="str">
        <f>+Z118&amp;" "&amp;AA118&amp;" "&amp;T118&amp;"-"&amp;U118&amp;" "&amp;H117</f>
        <v>12/21 △ - D-GUCCI</v>
      </c>
      <c r="AD118" s="14">
        <f>+L117</f>
        <v>0</v>
      </c>
      <c r="AE118" s="14">
        <f>+L118</f>
        <v>0</v>
      </c>
      <c r="AF118" s="14">
        <f>+J117</f>
        <v>0</v>
      </c>
      <c r="AG118" s="14">
        <f>+J118</f>
        <v>0</v>
      </c>
      <c r="AH118" s="121">
        <f t="shared" si="20"/>
        <v>40532</v>
      </c>
      <c r="AL118" s="164"/>
      <c r="AM118" s="169"/>
      <c r="AN118" s="169"/>
      <c r="AO118" s="169"/>
      <c r="AP118" s="164"/>
    </row>
    <row r="119" spans="1:42" ht="15.75" customHeight="1">
      <c r="A119" s="289"/>
      <c r="B119" s="292"/>
      <c r="C119" s="295"/>
      <c r="D119" s="297">
        <v>4</v>
      </c>
      <c r="E119" s="283">
        <v>0.6041666666666666</v>
      </c>
      <c r="F119" s="282">
        <v>0.6666666666666666</v>
      </c>
      <c r="G119" s="86" t="str">
        <f>VLOOKUP(D119,AL113:AP120,IF(VLOOKUP(D119,AL113:AP120,5,FALSE)=1,4,2),FALSE)</f>
        <v>Ｂ</v>
      </c>
      <c r="H119" s="319" t="str">
        <f>IF(G119&lt;&gt;"",VLOOKUP(G119,'参加チーム'!$B$5:$G$73,IF($N$2=1,4,5),FALSE),"")</f>
        <v>ヴォスクオーレ</v>
      </c>
      <c r="I119" s="304">
        <f>IF(J119&lt;&gt;"",J119+J120,"")</f>
      </c>
      <c r="J119" s="116"/>
      <c r="K119" s="303" t="s">
        <v>120</v>
      </c>
      <c r="L119" s="116"/>
      <c r="M119" s="304">
        <f>IF(L119&lt;&gt;"",L119+L120,"")</f>
      </c>
      <c r="N119" s="86" t="str">
        <f>VLOOKUP(D119,AL113:AP120,IF(VLOOKUP(D119,AL113:AP120,5,FALSE)=1,2,4),FALSE)</f>
        <v>Ｆ</v>
      </c>
      <c r="O119" s="319" t="str">
        <f>IF(N119&lt;&gt;"",VLOOKUP(N119,'参加チーム'!$B$5:$G$73,IF($N$2=1,4,5),FALSE),"")</f>
        <v>volviendo</v>
      </c>
      <c r="P119" s="325" t="str">
        <f>+O119</f>
        <v>volviendo</v>
      </c>
      <c r="Q119" s="323"/>
      <c r="S119" s="20" t="str">
        <f>+"後"&amp;G119&amp;N119</f>
        <v>後ＢＦ</v>
      </c>
      <c r="T119" s="16">
        <f>+I119</f>
      </c>
      <c r="U119" s="16">
        <f>+M119</f>
      </c>
      <c r="V119" s="21">
        <f>+B113</f>
        <v>40532</v>
      </c>
      <c r="X119" s="117">
        <f t="shared" si="28"/>
        <v>12</v>
      </c>
      <c r="Y119" s="117">
        <f t="shared" si="29"/>
        <v>21</v>
      </c>
      <c r="Z119" s="117" t="str">
        <f t="shared" si="30"/>
        <v>12/21</v>
      </c>
      <c r="AA119" s="117" t="str">
        <f t="shared" si="31"/>
        <v>△</v>
      </c>
      <c r="AB119" s="14">
        <f>IF(T119&lt;&gt;"",H119,"")</f>
      </c>
      <c r="AC119" s="117" t="str">
        <f>+Z119&amp;" "&amp;AA119&amp;" "&amp;T119&amp;"-"&amp;U119&amp;" "&amp;O119</f>
        <v>12/21 △ - volviendo</v>
      </c>
      <c r="AD119" s="14">
        <f>+J119</f>
        <v>0</v>
      </c>
      <c r="AE119" s="14">
        <f>+J120</f>
        <v>0</v>
      </c>
      <c r="AF119" s="14">
        <f>+L119</f>
        <v>0</v>
      </c>
      <c r="AG119" s="14">
        <f>+L120</f>
        <v>0</v>
      </c>
      <c r="AH119" s="121">
        <f t="shared" si="20"/>
        <v>40532</v>
      </c>
      <c r="AL119" s="164">
        <v>1</v>
      </c>
      <c r="AM119" s="169" t="str">
        <f>+AO67</f>
        <v>Ｃ</v>
      </c>
      <c r="AN119" s="169"/>
      <c r="AO119" s="169" t="str">
        <f>+AO65</f>
        <v>H</v>
      </c>
      <c r="AP119" s="164"/>
    </row>
    <row r="120" spans="1:42" ht="15.75" customHeight="1" thickBot="1">
      <c r="A120" s="290"/>
      <c r="B120" s="293"/>
      <c r="C120" s="296"/>
      <c r="D120" s="298"/>
      <c r="E120" s="285"/>
      <c r="F120" s="287"/>
      <c r="G120" s="124" t="str">
        <f>LEFT(VLOOKUP(G119,'参加チーム'!$B$5:$G$73,6,FALSE),2)</f>
        <v>宮城</v>
      </c>
      <c r="H120" s="320"/>
      <c r="I120" s="305"/>
      <c r="J120" s="125"/>
      <c r="K120" s="321"/>
      <c r="L120" s="125"/>
      <c r="M120" s="305"/>
      <c r="N120" s="124" t="str">
        <f>LEFT(VLOOKUP(N119,'参加チーム'!$B$5:$G$73,6,FALSE),2)</f>
        <v>福島</v>
      </c>
      <c r="O120" s="320"/>
      <c r="P120" s="315"/>
      <c r="Q120" s="324"/>
      <c r="S120" s="22" t="str">
        <f>+"後"&amp;N119&amp;G119</f>
        <v>後ＦＢ</v>
      </c>
      <c r="T120" s="23">
        <f>+M119</f>
      </c>
      <c r="U120" s="23">
        <f>+I119</f>
      </c>
      <c r="V120" s="24">
        <f>+B113</f>
        <v>40532</v>
      </c>
      <c r="X120" s="117">
        <f t="shared" si="28"/>
        <v>12</v>
      </c>
      <c r="Y120" s="117">
        <f t="shared" si="29"/>
        <v>21</v>
      </c>
      <c r="Z120" s="117" t="str">
        <f t="shared" si="30"/>
        <v>12/21</v>
      </c>
      <c r="AA120" s="117" t="str">
        <f t="shared" si="31"/>
        <v>△</v>
      </c>
      <c r="AB120" s="14">
        <f t="shared" si="32"/>
      </c>
      <c r="AC120" s="117" t="str">
        <f>+Z120&amp;" "&amp;AA120&amp;" "&amp;T120&amp;"-"&amp;U120&amp;" "&amp;H119</f>
        <v>12/21 △ - ヴォスクオーレ</v>
      </c>
      <c r="AD120" s="14">
        <f>+L119</f>
        <v>0</v>
      </c>
      <c r="AE120" s="14">
        <f>+L120</f>
        <v>0</v>
      </c>
      <c r="AF120" s="14">
        <f>+J119</f>
        <v>0</v>
      </c>
      <c r="AG120" s="14">
        <f>+J120</f>
        <v>0</v>
      </c>
      <c r="AH120" s="121">
        <f t="shared" si="20"/>
        <v>40532</v>
      </c>
      <c r="AL120" s="164"/>
      <c r="AM120" s="169"/>
      <c r="AN120" s="169"/>
      <c r="AO120" s="169"/>
      <c r="AP120" s="164"/>
    </row>
    <row r="121" ht="15.75" customHeight="1"/>
    <row r="125" ht="14.25">
      <c r="G125" s="115" t="s">
        <v>47</v>
      </c>
    </row>
    <row r="126" ht="14.25">
      <c r="G126" s="115" t="s">
        <v>45</v>
      </c>
    </row>
    <row r="127" ht="14.25">
      <c r="G127" s="115" t="s">
        <v>43</v>
      </c>
    </row>
    <row r="128" ht="14.25">
      <c r="G128" s="115" t="s">
        <v>48</v>
      </c>
    </row>
    <row r="129" ht="14.25">
      <c r="G129" s="115" t="s">
        <v>44</v>
      </c>
    </row>
    <row r="130" ht="14.25">
      <c r="G130" s="115" t="s">
        <v>46</v>
      </c>
    </row>
    <row r="131" ht="14.25">
      <c r="G131" s="115" t="s">
        <v>116</v>
      </c>
    </row>
    <row r="132" ht="14.25">
      <c r="G132" s="115" t="s">
        <v>117</v>
      </c>
    </row>
    <row r="133" ht="14.25">
      <c r="G133" s="114"/>
    </row>
    <row r="134" ht="14.25">
      <c r="G134" s="114"/>
    </row>
    <row r="135" ht="14.25">
      <c r="G135" s="114"/>
    </row>
    <row r="136" ht="14.25">
      <c r="G136" s="114"/>
    </row>
    <row r="143" spans="1:22" ht="14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99"/>
      <c r="R143" s="25"/>
      <c r="S143" s="25"/>
      <c r="T143" s="25"/>
      <c r="U143" s="25"/>
      <c r="V143" s="25"/>
    </row>
  </sheetData>
  <sheetProtection sheet="1" objects="1" scenarios="1"/>
  <mergeCells count="588">
    <mergeCell ref="O28:O29"/>
    <mergeCell ref="P28:P29"/>
    <mergeCell ref="Q28:Q29"/>
    <mergeCell ref="I28:I29"/>
    <mergeCell ref="K28:K29"/>
    <mergeCell ref="M28:M29"/>
    <mergeCell ref="A28:A29"/>
    <mergeCell ref="B28:B29"/>
    <mergeCell ref="C28:C29"/>
    <mergeCell ref="H28:H29"/>
    <mergeCell ref="F28:F29"/>
    <mergeCell ref="D28:D29"/>
    <mergeCell ref="E28:E29"/>
    <mergeCell ref="P97:P98"/>
    <mergeCell ref="K101:K102"/>
    <mergeCell ref="P95:P96"/>
    <mergeCell ref="P93:P94"/>
    <mergeCell ref="P103:P104"/>
    <mergeCell ref="M101:M102"/>
    <mergeCell ref="M105:M106"/>
    <mergeCell ref="P101:P102"/>
    <mergeCell ref="H107:H108"/>
    <mergeCell ref="H99:H100"/>
    <mergeCell ref="H115:H116"/>
    <mergeCell ref="O105:O106"/>
    <mergeCell ref="I97:I98"/>
    <mergeCell ref="I95:I96"/>
    <mergeCell ref="K95:K96"/>
    <mergeCell ref="I115:I116"/>
    <mergeCell ref="K115:K116"/>
    <mergeCell ref="M103:M104"/>
    <mergeCell ref="O101:O102"/>
    <mergeCell ref="O103:O104"/>
    <mergeCell ref="M93:M94"/>
    <mergeCell ref="M95:M96"/>
    <mergeCell ref="O95:O96"/>
    <mergeCell ref="O93:O94"/>
    <mergeCell ref="M97:M98"/>
    <mergeCell ref="O97:O98"/>
    <mergeCell ref="I117:I118"/>
    <mergeCell ref="K117:K118"/>
    <mergeCell ref="K113:K114"/>
    <mergeCell ref="I113:I114"/>
    <mergeCell ref="H71:H72"/>
    <mergeCell ref="I64:M64"/>
    <mergeCell ref="H65:H66"/>
    <mergeCell ref="I65:I66"/>
    <mergeCell ref="I67:I68"/>
    <mergeCell ref="H67:H68"/>
    <mergeCell ref="K65:K66"/>
    <mergeCell ref="I101:I102"/>
    <mergeCell ref="M54:M55"/>
    <mergeCell ref="M65:M66"/>
    <mergeCell ref="K67:K68"/>
    <mergeCell ref="M67:M68"/>
    <mergeCell ref="M69:M70"/>
    <mergeCell ref="M71:M72"/>
    <mergeCell ref="M56:M57"/>
    <mergeCell ref="I54:I55"/>
    <mergeCell ref="K56:K57"/>
    <mergeCell ref="K54:K55"/>
    <mergeCell ref="K87:K88"/>
    <mergeCell ref="K91:K92"/>
    <mergeCell ref="I93:I94"/>
    <mergeCell ref="I87:I88"/>
    <mergeCell ref="I91:I92"/>
    <mergeCell ref="K93:K94"/>
    <mergeCell ref="I89:I90"/>
    <mergeCell ref="K89:K90"/>
    <mergeCell ref="H38:H39"/>
    <mergeCell ref="M38:M39"/>
    <mergeCell ref="H34:H35"/>
    <mergeCell ref="K34:K35"/>
    <mergeCell ref="M34:M35"/>
    <mergeCell ref="H30:H31"/>
    <mergeCell ref="O36:O37"/>
    <mergeCell ref="H40:H41"/>
    <mergeCell ref="I36:I37"/>
    <mergeCell ref="O38:O39"/>
    <mergeCell ref="H32:H33"/>
    <mergeCell ref="I32:I33"/>
    <mergeCell ref="M30:M31"/>
    <mergeCell ref="O34:O35"/>
    <mergeCell ref="H36:H37"/>
    <mergeCell ref="P111:P112"/>
    <mergeCell ref="P105:P106"/>
    <mergeCell ref="P107:P108"/>
    <mergeCell ref="I34:I35"/>
    <mergeCell ref="O46:O47"/>
    <mergeCell ref="M40:M41"/>
    <mergeCell ref="M46:M47"/>
    <mergeCell ref="O111:O112"/>
    <mergeCell ref="K52:K53"/>
    <mergeCell ref="K50:K51"/>
    <mergeCell ref="D109:D110"/>
    <mergeCell ref="C100:C104"/>
    <mergeCell ref="D103:D104"/>
    <mergeCell ref="D99:D100"/>
    <mergeCell ref="I111:I112"/>
    <mergeCell ref="K111:K112"/>
    <mergeCell ref="O109:O110"/>
    <mergeCell ref="A105:A112"/>
    <mergeCell ref="B105:B112"/>
    <mergeCell ref="C105:C107"/>
    <mergeCell ref="D105:D106"/>
    <mergeCell ref="C108:C112"/>
    <mergeCell ref="D111:D112"/>
    <mergeCell ref="D107:D108"/>
    <mergeCell ref="Q105:Q112"/>
    <mergeCell ref="I107:I108"/>
    <mergeCell ref="K107:K108"/>
    <mergeCell ref="M107:M108"/>
    <mergeCell ref="O107:O108"/>
    <mergeCell ref="P109:P110"/>
    <mergeCell ref="M111:M112"/>
    <mergeCell ref="M109:M110"/>
    <mergeCell ref="I109:I110"/>
    <mergeCell ref="I105:I106"/>
    <mergeCell ref="K109:K110"/>
    <mergeCell ref="K105:K106"/>
    <mergeCell ref="I103:I104"/>
    <mergeCell ref="K103:K104"/>
    <mergeCell ref="P73:P74"/>
    <mergeCell ref="O77:O78"/>
    <mergeCell ref="M73:M74"/>
    <mergeCell ref="Q97:Q104"/>
    <mergeCell ref="M99:M100"/>
    <mergeCell ref="O99:O100"/>
    <mergeCell ref="P99:P100"/>
    <mergeCell ref="O75:O76"/>
    <mergeCell ref="O89:O90"/>
    <mergeCell ref="M89:M90"/>
    <mergeCell ref="F71:F72"/>
    <mergeCell ref="Q73:Q80"/>
    <mergeCell ref="M75:M76"/>
    <mergeCell ref="P75:P76"/>
    <mergeCell ref="M79:M80"/>
    <mergeCell ref="P79:P80"/>
    <mergeCell ref="O73:O74"/>
    <mergeCell ref="O79:O80"/>
    <mergeCell ref="P77:P78"/>
    <mergeCell ref="M77:M78"/>
    <mergeCell ref="K60:K61"/>
    <mergeCell ref="H69:H70"/>
    <mergeCell ref="F65:F66"/>
    <mergeCell ref="F67:F68"/>
    <mergeCell ref="F69:F70"/>
    <mergeCell ref="K69:K70"/>
    <mergeCell ref="I69:I70"/>
    <mergeCell ref="I71:I72"/>
    <mergeCell ref="I73:I74"/>
    <mergeCell ref="K73:K74"/>
    <mergeCell ref="K71:K72"/>
    <mergeCell ref="H73:H74"/>
    <mergeCell ref="K79:K80"/>
    <mergeCell ref="I79:I80"/>
    <mergeCell ref="I75:I76"/>
    <mergeCell ref="H77:H78"/>
    <mergeCell ref="H79:H80"/>
    <mergeCell ref="H75:H76"/>
    <mergeCell ref="K77:K78"/>
    <mergeCell ref="I77:I78"/>
    <mergeCell ref="K75:K76"/>
    <mergeCell ref="Q46:Q53"/>
    <mergeCell ref="O48:O49"/>
    <mergeCell ref="P48:P49"/>
    <mergeCell ref="H44:H45"/>
    <mergeCell ref="H46:H47"/>
    <mergeCell ref="O50:O51"/>
    <mergeCell ref="H50:H51"/>
    <mergeCell ref="F50:F51"/>
    <mergeCell ref="F52:F53"/>
    <mergeCell ref="F42:F43"/>
    <mergeCell ref="O44:O45"/>
    <mergeCell ref="I46:I47"/>
    <mergeCell ref="H48:H49"/>
    <mergeCell ref="H52:H53"/>
    <mergeCell ref="I50:I51"/>
    <mergeCell ref="F48:F49"/>
    <mergeCell ref="H42:H43"/>
    <mergeCell ref="D42:D43"/>
    <mergeCell ref="M42:M43"/>
    <mergeCell ref="O42:O43"/>
    <mergeCell ref="M44:M45"/>
    <mergeCell ref="F44:F45"/>
    <mergeCell ref="A38:A45"/>
    <mergeCell ref="A46:A53"/>
    <mergeCell ref="B38:B45"/>
    <mergeCell ref="C38:C40"/>
    <mergeCell ref="B46:B53"/>
    <mergeCell ref="C46:C48"/>
    <mergeCell ref="C49:C53"/>
    <mergeCell ref="C41:C45"/>
    <mergeCell ref="A113:A120"/>
    <mergeCell ref="H117:H118"/>
    <mergeCell ref="B113:B120"/>
    <mergeCell ref="C113:C115"/>
    <mergeCell ref="D113:D114"/>
    <mergeCell ref="D115:D116"/>
    <mergeCell ref="C116:C120"/>
    <mergeCell ref="D119:D120"/>
    <mergeCell ref="H113:H114"/>
    <mergeCell ref="A97:A104"/>
    <mergeCell ref="H101:H102"/>
    <mergeCell ref="H103:H104"/>
    <mergeCell ref="H105:H106"/>
    <mergeCell ref="B97:B104"/>
    <mergeCell ref="C97:C99"/>
    <mergeCell ref="D97:D98"/>
    <mergeCell ref="D101:D102"/>
    <mergeCell ref="D38:D39"/>
    <mergeCell ref="D40:D41"/>
    <mergeCell ref="F40:F41"/>
    <mergeCell ref="I119:I120"/>
    <mergeCell ref="D117:D118"/>
    <mergeCell ref="D46:D47"/>
    <mergeCell ref="D52:D53"/>
    <mergeCell ref="D50:D51"/>
    <mergeCell ref="D48:D49"/>
    <mergeCell ref="D44:D45"/>
    <mergeCell ref="P117:P118"/>
    <mergeCell ref="O113:O114"/>
    <mergeCell ref="P113:P114"/>
    <mergeCell ref="F38:F39"/>
    <mergeCell ref="P46:P47"/>
    <mergeCell ref="M48:M49"/>
    <mergeCell ref="I58:I59"/>
    <mergeCell ref="K58:K59"/>
    <mergeCell ref="M50:M51"/>
    <mergeCell ref="F46:F47"/>
    <mergeCell ref="Q113:Q120"/>
    <mergeCell ref="M115:M116"/>
    <mergeCell ref="O115:O116"/>
    <mergeCell ref="P115:P116"/>
    <mergeCell ref="M119:M120"/>
    <mergeCell ref="O119:O120"/>
    <mergeCell ref="P119:P120"/>
    <mergeCell ref="M117:M118"/>
    <mergeCell ref="O117:O118"/>
    <mergeCell ref="M113:M114"/>
    <mergeCell ref="O85:O86"/>
    <mergeCell ref="H93:H94"/>
    <mergeCell ref="H119:H120"/>
    <mergeCell ref="H97:H98"/>
    <mergeCell ref="H111:H112"/>
    <mergeCell ref="H109:H110"/>
    <mergeCell ref="K119:K120"/>
    <mergeCell ref="I99:I100"/>
    <mergeCell ref="K99:K100"/>
    <mergeCell ref="K97:K98"/>
    <mergeCell ref="P89:P90"/>
    <mergeCell ref="Q89:Q96"/>
    <mergeCell ref="M91:M92"/>
    <mergeCell ref="O91:O92"/>
    <mergeCell ref="P91:P92"/>
    <mergeCell ref="H95:H96"/>
    <mergeCell ref="K85:K86"/>
    <mergeCell ref="M81:M82"/>
    <mergeCell ref="K81:K82"/>
    <mergeCell ref="M85:M86"/>
    <mergeCell ref="I81:I82"/>
    <mergeCell ref="H81:H82"/>
    <mergeCell ref="H89:H90"/>
    <mergeCell ref="Q81:Q88"/>
    <mergeCell ref="M83:M84"/>
    <mergeCell ref="O83:O84"/>
    <mergeCell ref="P83:P84"/>
    <mergeCell ref="M87:M88"/>
    <mergeCell ref="O87:O88"/>
    <mergeCell ref="O81:O82"/>
    <mergeCell ref="P87:P88"/>
    <mergeCell ref="P81:P82"/>
    <mergeCell ref="P85:P86"/>
    <mergeCell ref="E91:E92"/>
    <mergeCell ref="F91:F92"/>
    <mergeCell ref="E93:E94"/>
    <mergeCell ref="H87:H88"/>
    <mergeCell ref="H91:H92"/>
    <mergeCell ref="K83:K84"/>
    <mergeCell ref="A89:A96"/>
    <mergeCell ref="B89:B96"/>
    <mergeCell ref="C89:C91"/>
    <mergeCell ref="D89:D90"/>
    <mergeCell ref="D91:D92"/>
    <mergeCell ref="C92:C96"/>
    <mergeCell ref="D95:D96"/>
    <mergeCell ref="D93:D94"/>
    <mergeCell ref="E85:E86"/>
    <mergeCell ref="H85:H86"/>
    <mergeCell ref="I85:I86"/>
    <mergeCell ref="H83:H84"/>
    <mergeCell ref="I83:I84"/>
    <mergeCell ref="A81:A88"/>
    <mergeCell ref="B81:B88"/>
    <mergeCell ref="C81:C83"/>
    <mergeCell ref="D81:D82"/>
    <mergeCell ref="D83:D84"/>
    <mergeCell ref="D87:D88"/>
    <mergeCell ref="D85:D86"/>
    <mergeCell ref="C84:C88"/>
    <mergeCell ref="A73:A80"/>
    <mergeCell ref="B73:B80"/>
    <mergeCell ref="C73:C75"/>
    <mergeCell ref="D73:D74"/>
    <mergeCell ref="D75:D76"/>
    <mergeCell ref="C76:C80"/>
    <mergeCell ref="D79:D80"/>
    <mergeCell ref="D77:D78"/>
    <mergeCell ref="F58:F59"/>
    <mergeCell ref="F60:F61"/>
    <mergeCell ref="I60:I61"/>
    <mergeCell ref="F54:F55"/>
    <mergeCell ref="F56:F57"/>
    <mergeCell ref="H56:H57"/>
    <mergeCell ref="H54:H55"/>
    <mergeCell ref="M58:M59"/>
    <mergeCell ref="M60:M61"/>
    <mergeCell ref="H58:H59"/>
    <mergeCell ref="A54:A61"/>
    <mergeCell ref="B54:B61"/>
    <mergeCell ref="C54:C56"/>
    <mergeCell ref="D54:D55"/>
    <mergeCell ref="D56:D57"/>
    <mergeCell ref="D58:D59"/>
    <mergeCell ref="H60:H61"/>
    <mergeCell ref="A65:A72"/>
    <mergeCell ref="B65:B72"/>
    <mergeCell ref="C65:C67"/>
    <mergeCell ref="D65:D66"/>
    <mergeCell ref="C68:C72"/>
    <mergeCell ref="D71:D72"/>
    <mergeCell ref="D67:D68"/>
    <mergeCell ref="D69:D70"/>
    <mergeCell ref="Q54:Q61"/>
    <mergeCell ref="O56:O57"/>
    <mergeCell ref="P56:P57"/>
    <mergeCell ref="O60:O61"/>
    <mergeCell ref="P54:P55"/>
    <mergeCell ref="P60:P61"/>
    <mergeCell ref="O58:O59"/>
    <mergeCell ref="P58:P59"/>
    <mergeCell ref="Q65:Q72"/>
    <mergeCell ref="O67:O68"/>
    <mergeCell ref="O71:O72"/>
    <mergeCell ref="P67:P68"/>
    <mergeCell ref="P71:P72"/>
    <mergeCell ref="P65:P66"/>
    <mergeCell ref="O65:O66"/>
    <mergeCell ref="P69:P70"/>
    <mergeCell ref="O69:O70"/>
    <mergeCell ref="I30:I31"/>
    <mergeCell ref="P30:P31"/>
    <mergeCell ref="K30:K31"/>
    <mergeCell ref="K36:K37"/>
    <mergeCell ref="K32:K33"/>
    <mergeCell ref="Q30:Q37"/>
    <mergeCell ref="M32:M33"/>
    <mergeCell ref="O32:O33"/>
    <mergeCell ref="P32:P33"/>
    <mergeCell ref="M36:M37"/>
    <mergeCell ref="P36:P37"/>
    <mergeCell ref="P34:P35"/>
    <mergeCell ref="O30:O31"/>
    <mergeCell ref="I48:I49"/>
    <mergeCell ref="P52:P53"/>
    <mergeCell ref="K48:K49"/>
    <mergeCell ref="P44:P45"/>
    <mergeCell ref="Q38:Q45"/>
    <mergeCell ref="I40:I41"/>
    <mergeCell ref="K40:K41"/>
    <mergeCell ref="K46:K47"/>
    <mergeCell ref="P40:P41"/>
    <mergeCell ref="K38:K39"/>
    <mergeCell ref="I38:I39"/>
    <mergeCell ref="O40:O41"/>
    <mergeCell ref="I42:I43"/>
    <mergeCell ref="K44:K45"/>
    <mergeCell ref="P38:P39"/>
    <mergeCell ref="P42:P43"/>
    <mergeCell ref="I56:I57"/>
    <mergeCell ref="O54:O55"/>
    <mergeCell ref="P50:P51"/>
    <mergeCell ref="O52:O53"/>
    <mergeCell ref="K42:K43"/>
    <mergeCell ref="I44:I45"/>
    <mergeCell ref="M52:M53"/>
    <mergeCell ref="I52:I53"/>
    <mergeCell ref="D36:D37"/>
    <mergeCell ref="F32:F33"/>
    <mergeCell ref="F30:F31"/>
    <mergeCell ref="F34:F35"/>
    <mergeCell ref="D34:D35"/>
    <mergeCell ref="F36:F37"/>
    <mergeCell ref="P24:P25"/>
    <mergeCell ref="P26:P27"/>
    <mergeCell ref="K24:K25"/>
    <mergeCell ref="K26:K27"/>
    <mergeCell ref="M26:M27"/>
    <mergeCell ref="O26:O27"/>
    <mergeCell ref="M24:M25"/>
    <mergeCell ref="O24:O25"/>
    <mergeCell ref="P20:P21"/>
    <mergeCell ref="H22:H23"/>
    <mergeCell ref="K22:K23"/>
    <mergeCell ref="I22:I23"/>
    <mergeCell ref="K20:K21"/>
    <mergeCell ref="O20:O21"/>
    <mergeCell ref="O22:O23"/>
    <mergeCell ref="P22:P23"/>
    <mergeCell ref="I20:I21"/>
    <mergeCell ref="F22:F23"/>
    <mergeCell ref="I24:I25"/>
    <mergeCell ref="I26:I27"/>
    <mergeCell ref="F26:F27"/>
    <mergeCell ref="H26:H27"/>
    <mergeCell ref="F24:F25"/>
    <mergeCell ref="H24:H25"/>
    <mergeCell ref="Q20:Q27"/>
    <mergeCell ref="A20:A27"/>
    <mergeCell ref="B20:B27"/>
    <mergeCell ref="C20:C22"/>
    <mergeCell ref="D20:D21"/>
    <mergeCell ref="D22:D23"/>
    <mergeCell ref="C23:C27"/>
    <mergeCell ref="D26:D27"/>
    <mergeCell ref="D24:D25"/>
    <mergeCell ref="M22:M23"/>
    <mergeCell ref="P10:P11"/>
    <mergeCell ref="P8:P9"/>
    <mergeCell ref="P14:P15"/>
    <mergeCell ref="O14:O15"/>
    <mergeCell ref="H4:H5"/>
    <mergeCell ref="H6:H7"/>
    <mergeCell ref="O4:O5"/>
    <mergeCell ref="P6:P7"/>
    <mergeCell ref="P4:P5"/>
    <mergeCell ref="O6:O7"/>
    <mergeCell ref="Q4:Q11"/>
    <mergeCell ref="I10:I11"/>
    <mergeCell ref="K10:K11"/>
    <mergeCell ref="H16:H17"/>
    <mergeCell ref="Q12:Q19"/>
    <mergeCell ref="P16:P17"/>
    <mergeCell ref="M14:M15"/>
    <mergeCell ref="P18:P19"/>
    <mergeCell ref="M16:M17"/>
    <mergeCell ref="P12:P13"/>
    <mergeCell ref="O8:O9"/>
    <mergeCell ref="O10:O11"/>
    <mergeCell ref="O12:O13"/>
    <mergeCell ref="F18:F19"/>
    <mergeCell ref="O18:O19"/>
    <mergeCell ref="I18:I19"/>
    <mergeCell ref="H10:H11"/>
    <mergeCell ref="I8:I9"/>
    <mergeCell ref="O16:O17"/>
    <mergeCell ref="F20:F21"/>
    <mergeCell ref="H20:H21"/>
    <mergeCell ref="H8:H9"/>
    <mergeCell ref="H18:H19"/>
    <mergeCell ref="H14:H15"/>
    <mergeCell ref="H12:H13"/>
    <mergeCell ref="M18:M19"/>
    <mergeCell ref="K18:K19"/>
    <mergeCell ref="M20:M21"/>
    <mergeCell ref="F14:F15"/>
    <mergeCell ref="C12:C14"/>
    <mergeCell ref="D12:D13"/>
    <mergeCell ref="F10:F11"/>
    <mergeCell ref="C15:C19"/>
    <mergeCell ref="D18:D19"/>
    <mergeCell ref="D14:D15"/>
    <mergeCell ref="D16:D17"/>
    <mergeCell ref="A12:A19"/>
    <mergeCell ref="B12:B19"/>
    <mergeCell ref="F12:F13"/>
    <mergeCell ref="C4:C6"/>
    <mergeCell ref="C7:C11"/>
    <mergeCell ref="D6:D7"/>
    <mergeCell ref="F16:F17"/>
    <mergeCell ref="D10:D11"/>
    <mergeCell ref="F6:F7"/>
    <mergeCell ref="F8:F9"/>
    <mergeCell ref="F4:F5"/>
    <mergeCell ref="D4:D5"/>
    <mergeCell ref="D8:D9"/>
    <mergeCell ref="A4:A11"/>
    <mergeCell ref="B4:B11"/>
    <mergeCell ref="I16:I17"/>
    <mergeCell ref="K16:K17"/>
    <mergeCell ref="K8:K9"/>
    <mergeCell ref="M6:M7"/>
    <mergeCell ref="K14:K15"/>
    <mergeCell ref="K12:K13"/>
    <mergeCell ref="I6:I7"/>
    <mergeCell ref="I12:I13"/>
    <mergeCell ref="I14:I15"/>
    <mergeCell ref="K6:K7"/>
    <mergeCell ref="M12:M13"/>
    <mergeCell ref="M8:M9"/>
    <mergeCell ref="M10:M11"/>
    <mergeCell ref="I3:M3"/>
    <mergeCell ref="I4:I5"/>
    <mergeCell ref="K4:K5"/>
    <mergeCell ref="M4:M5"/>
    <mergeCell ref="E77:E78"/>
    <mergeCell ref="F77:F78"/>
    <mergeCell ref="A30:A37"/>
    <mergeCell ref="B30:B37"/>
    <mergeCell ref="C57:C61"/>
    <mergeCell ref="D60:D61"/>
    <mergeCell ref="C30:C32"/>
    <mergeCell ref="D30:D31"/>
    <mergeCell ref="D32:D33"/>
    <mergeCell ref="C33:C37"/>
    <mergeCell ref="E73:E74"/>
    <mergeCell ref="F73:F74"/>
    <mergeCell ref="E75:E76"/>
    <mergeCell ref="F75:F76"/>
    <mergeCell ref="E65:E66"/>
    <mergeCell ref="E67:E68"/>
    <mergeCell ref="E69:E70"/>
    <mergeCell ref="E71:E72"/>
    <mergeCell ref="E83:E84"/>
    <mergeCell ref="F83:F84"/>
    <mergeCell ref="F93:F94"/>
    <mergeCell ref="E95:E96"/>
    <mergeCell ref="F95:F96"/>
    <mergeCell ref="F85:F86"/>
    <mergeCell ref="E87:E88"/>
    <mergeCell ref="F87:F88"/>
    <mergeCell ref="E89:E90"/>
    <mergeCell ref="F89:F90"/>
    <mergeCell ref="E79:E80"/>
    <mergeCell ref="F79:F80"/>
    <mergeCell ref="E81:E82"/>
    <mergeCell ref="F81:F82"/>
    <mergeCell ref="E107:E108"/>
    <mergeCell ref="F107:F108"/>
    <mergeCell ref="F103:F104"/>
    <mergeCell ref="E105:E106"/>
    <mergeCell ref="F105:F106"/>
    <mergeCell ref="E46:E47"/>
    <mergeCell ref="E48:E49"/>
    <mergeCell ref="E50:E51"/>
    <mergeCell ref="E52:E53"/>
    <mergeCell ref="E20:E21"/>
    <mergeCell ref="E22:E23"/>
    <mergeCell ref="E24:E25"/>
    <mergeCell ref="E26:E27"/>
    <mergeCell ref="E119:E120"/>
    <mergeCell ref="F119:F120"/>
    <mergeCell ref="E4:E5"/>
    <mergeCell ref="E6:E7"/>
    <mergeCell ref="E8:E9"/>
    <mergeCell ref="E10:E11"/>
    <mergeCell ref="E12:E13"/>
    <mergeCell ref="E14:E15"/>
    <mergeCell ref="E16:E17"/>
    <mergeCell ref="E18:E19"/>
    <mergeCell ref="F97:F98"/>
    <mergeCell ref="E99:E100"/>
    <mergeCell ref="F99:F100"/>
    <mergeCell ref="E101:E102"/>
    <mergeCell ref="F101:F102"/>
    <mergeCell ref="F117:F118"/>
    <mergeCell ref="E109:E110"/>
    <mergeCell ref="F109:F110"/>
    <mergeCell ref="E111:E112"/>
    <mergeCell ref="F111:F112"/>
    <mergeCell ref="E113:E114"/>
    <mergeCell ref="F113:F114"/>
    <mergeCell ref="E115:E116"/>
    <mergeCell ref="F115:F116"/>
    <mergeCell ref="E30:E31"/>
    <mergeCell ref="E32:E33"/>
    <mergeCell ref="E34:E35"/>
    <mergeCell ref="E117:E118"/>
    <mergeCell ref="E97:E98"/>
    <mergeCell ref="E103:E104"/>
    <mergeCell ref="E38:E39"/>
    <mergeCell ref="E40:E41"/>
    <mergeCell ref="E42:E43"/>
    <mergeCell ref="E44:E45"/>
    <mergeCell ref="E54:E55"/>
    <mergeCell ref="E56:E57"/>
    <mergeCell ref="E58:E59"/>
    <mergeCell ref="E60:E61"/>
  </mergeCells>
  <printOptions horizontalCentered="1"/>
  <pageMargins left="0.3937007874015748" right="0.3937007874015748" top="0.7874015748031497" bottom="0.3937007874015748" header="0.1968503937007874" footer="0.1968503937007874"/>
  <pageSetup fitToHeight="0" horizontalDpi="600" verticalDpi="600" orientation="portrait" paperSize="9" scale="70" r:id="rId1"/>
  <rowBreaks count="1" manualBreakCount="1">
    <brk id="6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B1:BF62"/>
  <sheetViews>
    <sheetView view="pageBreakPreview" zoomScale="55" zoomScaleNormal="55" zoomScaleSheetLayoutView="55" zoomScalePageLayoutView="0" workbookViewId="0" topLeftCell="A1">
      <selection activeCell="BJ25" sqref="BJ25"/>
    </sheetView>
  </sheetViews>
  <sheetFormatPr defaultColWidth="8.59765625" defaultRowHeight="15"/>
  <cols>
    <col min="1" max="1" width="1.59765625" style="0" customWidth="1"/>
    <col min="2" max="2" width="16.59765625" style="0" customWidth="1"/>
    <col min="3" max="32" width="3.59765625" style="0" customWidth="1"/>
    <col min="33" max="35" width="5.59765625" style="0" customWidth="1"/>
    <col min="36" max="36" width="6.59765625" style="0" customWidth="1"/>
    <col min="37" max="38" width="5.59765625" style="0" hidden="1" customWidth="1"/>
    <col min="39" max="40" width="6.59765625" style="0" customWidth="1"/>
    <col min="41" max="41" width="3.5" style="0" customWidth="1"/>
    <col min="42" max="42" width="8.59765625" style="0" customWidth="1"/>
    <col min="43" max="43" width="2.59765625" style="0" customWidth="1"/>
    <col min="44" max="44" width="8.59765625" style="0" customWidth="1"/>
    <col min="45" max="45" width="2.59765625" style="0" customWidth="1"/>
    <col min="46" max="49" width="4.59765625" style="0" hidden="1" customWidth="1"/>
    <col min="50" max="50" width="8.3984375" style="0" hidden="1" customWidth="1"/>
    <col min="51" max="51" width="9.59765625" style="0" hidden="1" customWidth="1"/>
    <col min="52" max="52" width="4.59765625" style="0" hidden="1" customWidth="1"/>
    <col min="53" max="59" width="3.69921875" style="0" hidden="1" customWidth="1"/>
  </cols>
  <sheetData>
    <row r="1" spans="2:40" ht="24">
      <c r="B1" s="36" t="s">
        <v>166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</row>
    <row r="3" spans="5:40" ht="18.75" customHeight="1" thickBot="1">
      <c r="E3" s="4" t="s">
        <v>83</v>
      </c>
      <c r="AG3" s="77">
        <f>+'１部'!$AQ$3</f>
        <v>1</v>
      </c>
      <c r="AH3" s="78" t="str">
        <f>IF(AG3=1,"略称表示","日本語略称表示")&amp;"（１部成績表から）"</f>
        <v>略称表示（１部成績表から）</v>
      </c>
      <c r="AI3" s="79"/>
      <c r="AJ3" s="79"/>
      <c r="AK3" s="79"/>
      <c r="AL3" s="79"/>
      <c r="AM3" s="79"/>
      <c r="AN3" s="79"/>
    </row>
    <row r="4" spans="2:49" ht="29.25" customHeight="1" thickBot="1">
      <c r="B4" s="106"/>
      <c r="C4" s="242" t="str">
        <f>+B6</f>
        <v>Itatica</v>
      </c>
      <c r="D4" s="243"/>
      <c r="E4" s="243"/>
      <c r="F4" s="243"/>
      <c r="G4" s="244"/>
      <c r="H4" s="245" t="str">
        <f>+B10</f>
        <v>Carioca</v>
      </c>
      <c r="I4" s="243"/>
      <c r="J4" s="243"/>
      <c r="K4" s="243"/>
      <c r="L4" s="244"/>
      <c r="M4" s="245" t="str">
        <f>+B14</f>
        <v>ヴィヴァーレ</v>
      </c>
      <c r="N4" s="243"/>
      <c r="O4" s="243"/>
      <c r="P4" s="243"/>
      <c r="Q4" s="244"/>
      <c r="R4" s="245" t="str">
        <f>+B18</f>
        <v>ステラミーゴ</v>
      </c>
      <c r="S4" s="243"/>
      <c r="T4" s="243"/>
      <c r="U4" s="243"/>
      <c r="V4" s="244"/>
      <c r="W4" s="245" t="str">
        <f>+B22</f>
        <v>Rion</v>
      </c>
      <c r="X4" s="243"/>
      <c r="Y4" s="243"/>
      <c r="Z4" s="243"/>
      <c r="AA4" s="244"/>
      <c r="AB4" s="245" t="str">
        <f>+B26</f>
        <v>PIETRA</v>
      </c>
      <c r="AC4" s="243"/>
      <c r="AD4" s="243"/>
      <c r="AE4" s="243"/>
      <c r="AF4" s="243"/>
      <c r="AG4" s="44" t="s">
        <v>75</v>
      </c>
      <c r="AH4" s="5" t="s">
        <v>76</v>
      </c>
      <c r="AI4" s="5" t="s">
        <v>77</v>
      </c>
      <c r="AJ4" s="74" t="s">
        <v>78</v>
      </c>
      <c r="AK4" s="7" t="s">
        <v>79</v>
      </c>
      <c r="AL4" s="8" t="s">
        <v>80</v>
      </c>
      <c r="AM4" s="9" t="s">
        <v>81</v>
      </c>
      <c r="AN4" s="10" t="s">
        <v>82</v>
      </c>
      <c r="AP4" s="54" t="s">
        <v>109</v>
      </c>
      <c r="AQ4" s="60"/>
      <c r="AR4" s="88" t="s">
        <v>130</v>
      </c>
      <c r="AS4" s="60"/>
      <c r="AT4" s="83" t="s">
        <v>139</v>
      </c>
      <c r="AU4" s="83"/>
      <c r="AV4" s="83" t="s">
        <v>140</v>
      </c>
      <c r="AW4" s="83"/>
    </row>
    <row r="5" spans="2:58" ht="24" customHeight="1" thickBot="1">
      <c r="B5" s="107" t="str">
        <f>+AN55</f>
        <v>北Ａ</v>
      </c>
      <c r="C5" s="364"/>
      <c r="D5" s="365"/>
      <c r="E5" s="365"/>
      <c r="F5" s="365"/>
      <c r="G5" s="366"/>
      <c r="H5" s="361">
        <f>VLOOKUP("前"&amp;$B5&amp;J$31,'２部北対戦表'!$S$1:$V$89,4,FALSE)</f>
        <v>40357</v>
      </c>
      <c r="I5" s="362"/>
      <c r="J5" s="362"/>
      <c r="K5" s="362"/>
      <c r="L5" s="363"/>
      <c r="M5" s="361">
        <f>VLOOKUP("前"&amp;$B5&amp;O$31,'２部北対戦表'!$S$1:$V$89,4,FALSE)</f>
        <v>40371</v>
      </c>
      <c r="N5" s="362"/>
      <c r="O5" s="362"/>
      <c r="P5" s="362"/>
      <c r="Q5" s="363"/>
      <c r="R5" s="361">
        <f>VLOOKUP("前"&amp;$B5&amp;T$31,'２部北対戦表'!$S$1:$V$89,4,FALSE)</f>
        <v>40343</v>
      </c>
      <c r="S5" s="362"/>
      <c r="T5" s="362"/>
      <c r="U5" s="362"/>
      <c r="V5" s="363"/>
      <c r="W5" s="361">
        <f>VLOOKUP("前"&amp;$B5&amp;Y$31,'２部北対戦表'!$S$1:$V$89,4,FALSE)</f>
        <v>40336</v>
      </c>
      <c r="X5" s="362"/>
      <c r="Y5" s="362"/>
      <c r="Z5" s="362"/>
      <c r="AA5" s="363"/>
      <c r="AB5" s="361">
        <f>VLOOKUP("前"&amp;$B5&amp;AD$31,'２部北対戦表'!$S$1:$V$89,4,FALSE)</f>
        <v>40315</v>
      </c>
      <c r="AC5" s="362"/>
      <c r="AD5" s="362"/>
      <c r="AE5" s="362"/>
      <c r="AF5" s="362"/>
      <c r="AG5" s="369">
        <f>IF(AND($AT6=0,$AU6=0,$AV6=0),"",AT6)</f>
        <v>5</v>
      </c>
      <c r="AH5" s="360">
        <f>IF(AND($AT6=0,$AU6=0,$AV6=0),"",AU6)</f>
        <v>0</v>
      </c>
      <c r="AI5" s="360">
        <f>IF(AND($AT6=0,$AU6=0,$AV6=0),"",AV6)</f>
        <v>0</v>
      </c>
      <c r="AJ5" s="379">
        <f>IF(AND($AT6=0,$AU6=0,$AV6=0),"",AW6+AP6)</f>
        <v>15</v>
      </c>
      <c r="AK5" s="380">
        <f>IF(AND($AT6=0,$AU6=0,$AV6=0),"",AT8)</f>
        <v>50</v>
      </c>
      <c r="AL5" s="380">
        <f>IF(AND($AT6=0,$AU6=0,$AV6=0),"",AU8)</f>
        <v>12</v>
      </c>
      <c r="AM5" s="395">
        <f>IF(AND($AT6=0,$AU6=0,$AV6=0),"",AV8)</f>
        <v>38</v>
      </c>
      <c r="AN5" s="394">
        <f>IF(AND($AT6=0,$AU6=0,$AV6=0),"",RANK(AY7,AY$7:AY$27))</f>
        <v>1</v>
      </c>
      <c r="AT5" s="67" t="s">
        <v>92</v>
      </c>
      <c r="AU5" s="67" t="s">
        <v>93</v>
      </c>
      <c r="AV5" s="67" t="s">
        <v>94</v>
      </c>
      <c r="AW5" s="67" t="s">
        <v>95</v>
      </c>
      <c r="AX5" s="30"/>
      <c r="AY5" s="30"/>
      <c r="BA5" s="62">
        <f>IF(D6&lt;&gt;"",D6,0)</f>
        <v>0</v>
      </c>
      <c r="BB5" s="62">
        <f>IF(I6&lt;&gt;"",I6,0)</f>
        <v>9</v>
      </c>
      <c r="BC5" s="62">
        <f>IF(N6&lt;&gt;"",N6,0)</f>
        <v>5</v>
      </c>
      <c r="BD5" s="62">
        <f>IF(S6&lt;&gt;"",S6,0)</f>
        <v>12</v>
      </c>
      <c r="BE5" s="62">
        <f>IF(X6&lt;&gt;"",X6,0)</f>
        <v>14</v>
      </c>
      <c r="BF5" s="62">
        <f>IF(AC6&lt;&gt;"",AC6,0)</f>
        <v>10</v>
      </c>
    </row>
    <row r="6" spans="2:58" ht="24" customHeight="1">
      <c r="B6" s="346" t="str">
        <f>VLOOKUP(B5,'参加チーム'!$B$5:$G$73,IF($AG$3=1,4,5),FALSE)</f>
        <v>Itatica</v>
      </c>
      <c r="C6" s="367"/>
      <c r="D6" s="352"/>
      <c r="E6" s="352"/>
      <c r="F6" s="352"/>
      <c r="G6" s="353"/>
      <c r="H6" s="41" t="s">
        <v>84</v>
      </c>
      <c r="I6" s="42">
        <f>VLOOKUP("前"&amp;$B5&amp;J$31,'２部北対戦表'!$S$1:$V$89,2,FALSE)</f>
        <v>9</v>
      </c>
      <c r="J6" s="42" t="str">
        <f>IF(I6&lt;&gt;"",IF(I6&gt;K6,"○",IF(I6&lt;K6,"●","△")),"-")</f>
        <v>○</v>
      </c>
      <c r="K6" s="42">
        <f>VLOOKUP("前"&amp;$B5&amp;J$31,'２部北対戦表'!$S$1:$V$89,3,FALSE)</f>
        <v>4</v>
      </c>
      <c r="L6" s="43" t="s">
        <v>85</v>
      </c>
      <c r="M6" s="41" t="s">
        <v>84</v>
      </c>
      <c r="N6" s="42">
        <f>VLOOKUP("前"&amp;$B5&amp;O$31,'２部北対戦表'!$S$1:$V$89,2,FALSE)</f>
        <v>5</v>
      </c>
      <c r="O6" s="42" t="str">
        <f>IF(N6&lt;&gt;"",IF(N6&gt;P6,"○",IF(N6&lt;P6,"●","△")),"-")</f>
        <v>○</v>
      </c>
      <c r="P6" s="42">
        <f>VLOOKUP("前"&amp;$B5&amp;O$31,'２部北対戦表'!$S$1:$V$89,3,FALSE)</f>
        <v>1</v>
      </c>
      <c r="Q6" s="43" t="s">
        <v>85</v>
      </c>
      <c r="R6" s="41" t="s">
        <v>84</v>
      </c>
      <c r="S6" s="42">
        <f>VLOOKUP("前"&amp;$B5&amp;T$31,'２部北対戦表'!$S$1:$V$89,2,FALSE)</f>
        <v>12</v>
      </c>
      <c r="T6" s="42" t="str">
        <f>IF(S6&lt;&gt;"",IF(S6&gt;U6,"○",IF(S6&lt;U6,"●","△")),"-")</f>
        <v>○</v>
      </c>
      <c r="U6" s="42">
        <f>VLOOKUP("前"&amp;$B5&amp;T$31,'２部北対戦表'!$S$1:$V$89,3,FALSE)</f>
        <v>2</v>
      </c>
      <c r="V6" s="43" t="s">
        <v>85</v>
      </c>
      <c r="W6" s="41" t="s">
        <v>84</v>
      </c>
      <c r="X6" s="42">
        <f>VLOOKUP("前"&amp;$B5&amp;Y$31,'２部北対戦表'!$S$1:$V$89,2,FALSE)</f>
        <v>14</v>
      </c>
      <c r="Y6" s="42" t="str">
        <f>IF(X6&lt;&gt;"",IF(X6&gt;Z6,"○",IF(X6&lt;Z6,"●","△")),"-")</f>
        <v>○</v>
      </c>
      <c r="Z6" s="42">
        <f>VLOOKUP("前"&amp;$B5&amp;Y$31,'２部北対戦表'!$S$1:$V$89,3,FALSE)</f>
        <v>2</v>
      </c>
      <c r="AA6" s="43" t="s">
        <v>85</v>
      </c>
      <c r="AB6" s="41" t="s">
        <v>84</v>
      </c>
      <c r="AC6" s="42">
        <f>VLOOKUP("前"&amp;$B5&amp;AD$31,'２部北対戦表'!$S$1:$V$89,2,FALSE)</f>
        <v>10</v>
      </c>
      <c r="AD6" s="42" t="str">
        <f>IF(AC6&lt;&gt;"",IF(AC6&gt;AE6,"○",IF(AC6&lt;AE6,"●","△")),"-")</f>
        <v>○</v>
      </c>
      <c r="AE6" s="42">
        <f>VLOOKUP("前"&amp;$B5&amp;AD$31,'２部北対戦表'!$S$1:$V$89,3,FALSE)</f>
        <v>3</v>
      </c>
      <c r="AF6" s="42" t="s">
        <v>85</v>
      </c>
      <c r="AG6" s="223"/>
      <c r="AH6" s="214"/>
      <c r="AI6" s="214"/>
      <c r="AJ6" s="375"/>
      <c r="AK6" s="212"/>
      <c r="AL6" s="212"/>
      <c r="AM6" s="213"/>
      <c r="AN6" s="227"/>
      <c r="AP6" s="263"/>
      <c r="AQ6" s="61"/>
      <c r="AR6" s="274"/>
      <c r="AS6" s="61"/>
      <c r="AT6" s="32">
        <f>COUNTIF($C5:$AF8,"○")</f>
        <v>5</v>
      </c>
      <c r="AU6" s="32">
        <f>COUNTIF($C5:$AF8,"△")</f>
        <v>0</v>
      </c>
      <c r="AV6" s="32">
        <f>COUNTIF($C5:$AF8,"●")</f>
        <v>0</v>
      </c>
      <c r="AW6" s="67">
        <f>AT6*3+AU6</f>
        <v>15</v>
      </c>
      <c r="AX6" s="30"/>
      <c r="AY6" s="30"/>
      <c r="BA6" s="63">
        <f>IF(F6&lt;&gt;"",F6,0)</f>
        <v>0</v>
      </c>
      <c r="BB6" s="63">
        <f>IF(K6&lt;&gt;"",K6,0)</f>
        <v>4</v>
      </c>
      <c r="BC6" s="63">
        <f>IF(P6&lt;&gt;"",P6,0)</f>
        <v>1</v>
      </c>
      <c r="BD6" s="63">
        <f>IF(U6&lt;&gt;"",U6,0)</f>
        <v>2</v>
      </c>
      <c r="BE6" s="63">
        <f>IF(Z6&lt;&gt;"",Z6,0)</f>
        <v>2</v>
      </c>
      <c r="BF6" s="63">
        <f>IF(AE6&lt;&gt;"",AE6,0)</f>
        <v>3</v>
      </c>
    </row>
    <row r="7" spans="2:58" ht="24" customHeight="1" thickBot="1">
      <c r="B7" s="346"/>
      <c r="C7" s="367"/>
      <c r="D7" s="352"/>
      <c r="E7" s="352"/>
      <c r="F7" s="352"/>
      <c r="G7" s="353"/>
      <c r="H7" s="203">
        <f>VLOOKUP("後"&amp;$B5&amp;J$31,'２部北対戦表'!$S$1:$V$89,4,FALSE)</f>
        <v>40476</v>
      </c>
      <c r="I7" s="204"/>
      <c r="J7" s="204"/>
      <c r="K7" s="204"/>
      <c r="L7" s="205"/>
      <c r="M7" s="203">
        <f>VLOOKUP("後"&amp;$B5&amp;O$31,'２部北対戦表'!$S$1:$V$89,4,FALSE)</f>
        <v>40463</v>
      </c>
      <c r="N7" s="204"/>
      <c r="O7" s="204"/>
      <c r="P7" s="204"/>
      <c r="Q7" s="205"/>
      <c r="R7" s="246">
        <f>VLOOKUP("後"&amp;$B5&amp;T$31,'２部北対戦表'!$S$1:$V$89,4,FALSE)</f>
        <v>40455</v>
      </c>
      <c r="S7" s="247"/>
      <c r="T7" s="247"/>
      <c r="U7" s="247"/>
      <c r="V7" s="248"/>
      <c r="W7" s="246">
        <f>VLOOKUP("後"&amp;$B5&amp;Y$31,'２部北対戦表'!$S$1:$V$89,4,FALSE)</f>
        <v>40427</v>
      </c>
      <c r="X7" s="247"/>
      <c r="Y7" s="247"/>
      <c r="Z7" s="247"/>
      <c r="AA7" s="248"/>
      <c r="AB7" s="246">
        <f>VLOOKUP("後"&amp;$B5&amp;AD$31,'２部北対戦表'!$S$1:$V$89,4,FALSE)</f>
        <v>40420</v>
      </c>
      <c r="AC7" s="247"/>
      <c r="AD7" s="247"/>
      <c r="AE7" s="247"/>
      <c r="AF7" s="247"/>
      <c r="AG7" s="223"/>
      <c r="AH7" s="214"/>
      <c r="AI7" s="214"/>
      <c r="AJ7" s="375"/>
      <c r="AK7" s="212"/>
      <c r="AL7" s="212"/>
      <c r="AM7" s="213"/>
      <c r="AN7" s="227"/>
      <c r="AP7" s="264"/>
      <c r="AQ7" s="61"/>
      <c r="AR7" s="275"/>
      <c r="AS7" s="61"/>
      <c r="AT7" s="75" t="s">
        <v>96</v>
      </c>
      <c r="AU7" s="75" t="s">
        <v>97</v>
      </c>
      <c r="AV7" s="75" t="s">
        <v>98</v>
      </c>
      <c r="AW7" s="31"/>
      <c r="AX7" s="31" t="s">
        <v>141</v>
      </c>
      <c r="AY7" s="65">
        <f>IF(AND(AT6=0,AU6=0,AV6=0),0,+AJ5*1000+AM5+IF(AR6=$AT$4,100,0)+IF(AR6=$AV$4,-100,0))</f>
        <v>15038</v>
      </c>
      <c r="BA7" s="63">
        <f>IF(D8&lt;&gt;"",D8,0)</f>
        <v>0</v>
      </c>
      <c r="BB7" s="63">
        <f>IF(I8&lt;&gt;"",I8,0)</f>
        <v>0</v>
      </c>
      <c r="BC7" s="63">
        <f>IF(N8&lt;&gt;"",N8,0)</f>
        <v>0</v>
      </c>
      <c r="BD7" s="63">
        <f>IF(S8&lt;&gt;"",S8,0)</f>
        <v>0</v>
      </c>
      <c r="BE7" s="63">
        <f>IF(X8&lt;&gt;"",X8,0)</f>
        <v>0</v>
      </c>
      <c r="BF7" s="63">
        <f>IF(AC8&lt;&gt;"",AC8,0)</f>
        <v>0</v>
      </c>
    </row>
    <row r="8" spans="2:58" ht="24" customHeight="1">
      <c r="B8" s="347"/>
      <c r="C8" s="368"/>
      <c r="D8" s="355"/>
      <c r="E8" s="355"/>
      <c r="F8" s="355"/>
      <c r="G8" s="356"/>
      <c r="H8" s="38" t="s">
        <v>84</v>
      </c>
      <c r="I8" s="39">
        <f>VLOOKUP("後"&amp;$B5&amp;J$31,'２部北対戦表'!$S$1:$V$89,2,FALSE)</f>
      </c>
      <c r="J8" s="39">
        <f>IF(I8&lt;&gt;"",IF(I8&gt;K8,"○",IF(I8&lt;K8,"●","△")),"")</f>
      </c>
      <c r="K8" s="39">
        <f>VLOOKUP("後"&amp;$B5&amp;J$31,'２部北対戦表'!$S$1:$V$89,3,FALSE)</f>
      </c>
      <c r="L8" s="40" t="s">
        <v>85</v>
      </c>
      <c r="M8" s="38" t="s">
        <v>84</v>
      </c>
      <c r="N8" s="39">
        <f>VLOOKUP("後"&amp;$B5&amp;O$31,'２部北対戦表'!$S$1:$V$89,2,FALSE)</f>
      </c>
      <c r="O8" s="39">
        <f>IF(N8&lt;&gt;"",IF(N8&gt;P8,"○",IF(N8&lt;P8,"●","△")),"")</f>
      </c>
      <c r="P8" s="39">
        <f>VLOOKUP("後"&amp;$B5&amp;O$31,'２部北対戦表'!$S$1:$V$89,3,FALSE)</f>
      </c>
      <c r="Q8" s="40" t="s">
        <v>85</v>
      </c>
      <c r="R8" s="38" t="s">
        <v>84</v>
      </c>
      <c r="S8" s="39">
        <f>VLOOKUP("後"&amp;$B5&amp;T$31,'２部北対戦表'!$S$1:$V$89,2,FALSE)</f>
      </c>
      <c r="T8" s="39">
        <f>IF(S8&lt;&gt;"",IF(S8&gt;U8,"○",IF(S8&lt;U8,"●","△")),"")</f>
      </c>
      <c r="U8" s="39">
        <f>VLOOKUP("後"&amp;$B5&amp;T$31,'２部北対戦表'!$S$1:$V$89,3,FALSE)</f>
      </c>
      <c r="V8" s="40" t="s">
        <v>85</v>
      </c>
      <c r="W8" s="38" t="s">
        <v>84</v>
      </c>
      <c r="X8" s="39">
        <f>VLOOKUP("後"&amp;$B5&amp;Y$31,'２部北対戦表'!$S$1:$V$89,2,FALSE)</f>
      </c>
      <c r="Y8" s="39">
        <f>IF(X8&lt;&gt;"",IF(X8&gt;Z8,"○",IF(X8&lt;Z8,"●","△")),"")</f>
      </c>
      <c r="Z8" s="39">
        <f>VLOOKUP("後"&amp;$B5&amp;Y$31,'２部北対戦表'!$S$1:$V$89,3,FALSE)</f>
      </c>
      <c r="AA8" s="40" t="s">
        <v>85</v>
      </c>
      <c r="AB8" s="38" t="s">
        <v>84</v>
      </c>
      <c r="AC8" s="39">
        <f>VLOOKUP("後"&amp;$B5&amp;AD$31,'２部北対戦表'!$S$1:$V$89,2,FALSE)</f>
      </c>
      <c r="AD8" s="39">
        <f>IF(AC8&lt;&gt;"",IF(AC8&gt;AE8,"○",IF(AC8&lt;AE8,"●","△")),"")</f>
      </c>
      <c r="AE8" s="39">
        <f>VLOOKUP("後"&amp;$B5&amp;AD$31,'２部北対戦表'!$S$1:$V$89,3,FALSE)</f>
      </c>
      <c r="AF8" s="39" t="s">
        <v>85</v>
      </c>
      <c r="AG8" s="224"/>
      <c r="AH8" s="225"/>
      <c r="AI8" s="225"/>
      <c r="AJ8" s="378"/>
      <c r="AK8" s="212"/>
      <c r="AL8" s="212"/>
      <c r="AM8" s="213"/>
      <c r="AN8" s="228"/>
      <c r="AT8" s="75">
        <f>SUM(BA5:BF5)+SUM(BA7:BF7)</f>
        <v>50</v>
      </c>
      <c r="AU8" s="75">
        <f>SUM(BA6:BF6)+SUM(BA8:BF8)</f>
        <v>12</v>
      </c>
      <c r="AV8" s="57">
        <f>+AT8-AU8</f>
        <v>38</v>
      </c>
      <c r="AW8" s="31"/>
      <c r="AX8" s="31"/>
      <c r="AY8" s="31"/>
      <c r="BA8" s="64">
        <f>IF(F8&lt;&gt;"",F8,0)</f>
        <v>0</v>
      </c>
      <c r="BB8" s="64">
        <f>IF(K8&lt;&gt;"",K8,0)</f>
        <v>0</v>
      </c>
      <c r="BC8" s="64">
        <f>IF(P8&lt;&gt;"",P8,0)</f>
        <v>0</v>
      </c>
      <c r="BD8" s="64">
        <f>IF(U8&lt;&gt;"",U8,0)</f>
        <v>0</v>
      </c>
      <c r="BE8" s="64">
        <f>IF(Z8&lt;&gt;"",Z8,0)</f>
        <v>0</v>
      </c>
      <c r="BF8" s="64">
        <f>IF(AE8&lt;&gt;"",AE8,0)</f>
        <v>0</v>
      </c>
    </row>
    <row r="9" spans="2:58" ht="24" customHeight="1" thickBot="1">
      <c r="B9" s="108" t="str">
        <f>+AN56</f>
        <v>北Ｃ</v>
      </c>
      <c r="C9" s="200">
        <f>VLOOKUP("前"&amp;$B9&amp;E$31,'２部北対戦表'!$S$1:$V$89,4,FALSE)</f>
        <v>40357</v>
      </c>
      <c r="D9" s="201"/>
      <c r="E9" s="201"/>
      <c r="F9" s="201"/>
      <c r="G9" s="202"/>
      <c r="H9" s="348"/>
      <c r="I9" s="349"/>
      <c r="J9" s="349"/>
      <c r="K9" s="349"/>
      <c r="L9" s="350"/>
      <c r="M9" s="200">
        <f>VLOOKUP("前"&amp;$B9&amp;O$31,'２部北対戦表'!$S$1:$V$89,4,FALSE)</f>
        <v>40343</v>
      </c>
      <c r="N9" s="201"/>
      <c r="O9" s="201"/>
      <c r="P9" s="201"/>
      <c r="Q9" s="202"/>
      <c r="R9" s="200">
        <f>VLOOKUP("前"&amp;$B9&amp;T$31,'２部北対戦表'!$S$1:$V$89,4,FALSE)</f>
        <v>40315</v>
      </c>
      <c r="S9" s="201"/>
      <c r="T9" s="201"/>
      <c r="U9" s="201"/>
      <c r="V9" s="202"/>
      <c r="W9" s="200">
        <f>VLOOKUP("前"&amp;$B9&amp;Y$31,'２部北対戦表'!$S$1:$V$89,4,FALSE)</f>
        <v>40371</v>
      </c>
      <c r="X9" s="201"/>
      <c r="Y9" s="201"/>
      <c r="Z9" s="201"/>
      <c r="AA9" s="202"/>
      <c r="AB9" s="200">
        <f>VLOOKUP("前"&amp;$B9&amp;AD$31,'２部北対戦表'!$S$1:$V$89,4,FALSE)</f>
        <v>40336</v>
      </c>
      <c r="AC9" s="201"/>
      <c r="AD9" s="201"/>
      <c r="AE9" s="201"/>
      <c r="AF9" s="201"/>
      <c r="AG9" s="223">
        <f>IF(AND($AT10=0,$AU10=0,$AV10=0),"",AT10)</f>
        <v>4</v>
      </c>
      <c r="AH9" s="214">
        <f>IF(AND($AT10=0,$AU10=0,$AV10=0),"",AU10)</f>
        <v>0</v>
      </c>
      <c r="AI9" s="214">
        <f>IF(AND($AT10=0,$AU10=0,$AV10=0),"",AV10)</f>
        <v>1</v>
      </c>
      <c r="AJ9" s="377">
        <f>IF(AND($AT10=0,$AU10=0,$AV10=0),"",AW10+AP10)</f>
        <v>12</v>
      </c>
      <c r="AK9" s="260">
        <f>IF(AND($AT10=0,$AU10=0,$AV10=0),"",AT12)</f>
        <v>33</v>
      </c>
      <c r="AL9" s="260">
        <f>IF(AND($AT10=0,$AU10=0,$AV10=0),"",AU12)</f>
        <v>21</v>
      </c>
      <c r="AM9" s="257">
        <f>IF(AND($AT10=0,$AU10=0,$AV10=0),"",AV12)</f>
        <v>12</v>
      </c>
      <c r="AN9" s="226">
        <f>IF(AND($AT10=0,$AU10=0,$AV10=0),"",RANK(AY11,AY$7:AY$27))</f>
        <v>2</v>
      </c>
      <c r="AT9" s="67" t="s">
        <v>92</v>
      </c>
      <c r="AU9" s="67" t="s">
        <v>93</v>
      </c>
      <c r="AV9" s="67" t="s">
        <v>94</v>
      </c>
      <c r="AW9" s="67" t="s">
        <v>95</v>
      </c>
      <c r="AX9" s="30"/>
      <c r="AY9" s="30"/>
      <c r="BA9" s="62">
        <f>IF(D10&lt;&gt;"",D10,0)</f>
        <v>4</v>
      </c>
      <c r="BB9" s="62">
        <f>IF(I10&lt;&gt;"",I10,0)</f>
        <v>0</v>
      </c>
      <c r="BC9" s="62">
        <f>IF(N10&lt;&gt;"",N10,0)</f>
        <v>8</v>
      </c>
      <c r="BD9" s="62">
        <f>IF(S10&lt;&gt;"",S10,0)</f>
        <v>6</v>
      </c>
      <c r="BE9" s="62">
        <f>IF(X10&lt;&gt;"",X10,0)</f>
        <v>8</v>
      </c>
      <c r="BF9" s="62">
        <f>IF(AC10&lt;&gt;"",AC10,0)</f>
        <v>7</v>
      </c>
    </row>
    <row r="10" spans="2:58" ht="24" customHeight="1">
      <c r="B10" s="346" t="str">
        <f>VLOOKUP(B9,'参加チーム'!$B$5:$G$73,IF($AG$3=1,4,5),FALSE)</f>
        <v>Carioca</v>
      </c>
      <c r="C10" s="41" t="s">
        <v>84</v>
      </c>
      <c r="D10" s="42">
        <f>VLOOKUP("前"&amp;$B9&amp;E$31,'２部北対戦表'!$S$1:$V$89,2,FALSE)</f>
        <v>4</v>
      </c>
      <c r="E10" s="42" t="str">
        <f>IF(D10&lt;&gt;"",IF(D10&gt;F10,"○",IF(D10&lt;F10,"●","△")),"-")</f>
        <v>●</v>
      </c>
      <c r="F10" s="42">
        <f>VLOOKUP("前"&amp;$B9&amp;E$31,'２部北対戦表'!$S$1:$V$89,3,FALSE)</f>
        <v>9</v>
      </c>
      <c r="G10" s="43" t="s">
        <v>85</v>
      </c>
      <c r="H10" s="351"/>
      <c r="I10" s="352"/>
      <c r="J10" s="352"/>
      <c r="K10" s="352"/>
      <c r="L10" s="353"/>
      <c r="M10" s="41" t="s">
        <v>84</v>
      </c>
      <c r="N10" s="42">
        <f>VLOOKUP("前"&amp;$B9&amp;O$31,'２部北対戦表'!$S$1:$V$89,2,FALSE)</f>
        <v>8</v>
      </c>
      <c r="O10" s="42" t="str">
        <f>IF(N10&lt;&gt;"",IF(N10&gt;P10,"○",IF(N10&lt;P10,"●","△")),"-")</f>
        <v>○</v>
      </c>
      <c r="P10" s="42">
        <f>VLOOKUP("前"&amp;$B9&amp;O$31,'２部北対戦表'!$S$1:$V$89,3,FALSE)</f>
        <v>5</v>
      </c>
      <c r="Q10" s="43" t="s">
        <v>85</v>
      </c>
      <c r="R10" s="41" t="s">
        <v>84</v>
      </c>
      <c r="S10" s="42">
        <f>VLOOKUP("前"&amp;$B9&amp;T$31,'２部北対戦表'!$S$1:$V$89,2,FALSE)</f>
        <v>6</v>
      </c>
      <c r="T10" s="42" t="str">
        <f>IF(S10&lt;&gt;"",IF(S10&gt;U10,"○",IF(S10&lt;U10,"●","△")),"-")</f>
        <v>○</v>
      </c>
      <c r="U10" s="42">
        <f>VLOOKUP("前"&amp;$B9&amp;T$31,'２部北対戦表'!$S$1:$V$89,3,FALSE)</f>
        <v>1</v>
      </c>
      <c r="V10" s="43" t="s">
        <v>85</v>
      </c>
      <c r="W10" s="41" t="s">
        <v>84</v>
      </c>
      <c r="X10" s="42">
        <f>VLOOKUP("前"&amp;$B9&amp;Y$31,'２部北対戦表'!$S$1:$V$89,2,FALSE)</f>
        <v>8</v>
      </c>
      <c r="Y10" s="42" t="str">
        <f>IF(X10&lt;&gt;"",IF(X10&gt;Z10,"○",IF(X10&lt;Z10,"●","△")),"-")</f>
        <v>○</v>
      </c>
      <c r="Z10" s="42">
        <f>VLOOKUP("前"&amp;$B9&amp;Y$31,'２部北対戦表'!$S$1:$V$89,3,FALSE)</f>
        <v>4</v>
      </c>
      <c r="AA10" s="43" t="s">
        <v>85</v>
      </c>
      <c r="AB10" s="41" t="s">
        <v>84</v>
      </c>
      <c r="AC10" s="42">
        <f>VLOOKUP("前"&amp;$B9&amp;AD$31,'２部北対戦表'!$S$1:$V$89,2,FALSE)</f>
        <v>7</v>
      </c>
      <c r="AD10" s="42" t="str">
        <f>IF(AC10&lt;&gt;"",IF(AC10&gt;AE10,"○",IF(AC10&lt;AE10,"●","△")),"-")</f>
        <v>○</v>
      </c>
      <c r="AE10" s="42">
        <f>VLOOKUP("前"&amp;$B9&amp;AD$31,'２部北対戦表'!$S$1:$V$89,3,FALSE)</f>
        <v>2</v>
      </c>
      <c r="AF10" s="42" t="s">
        <v>85</v>
      </c>
      <c r="AG10" s="223"/>
      <c r="AH10" s="214"/>
      <c r="AI10" s="214"/>
      <c r="AJ10" s="375"/>
      <c r="AK10" s="261"/>
      <c r="AL10" s="261"/>
      <c r="AM10" s="258"/>
      <c r="AN10" s="227"/>
      <c r="AP10" s="263"/>
      <c r="AQ10" s="61"/>
      <c r="AR10" s="381"/>
      <c r="AS10" s="61"/>
      <c r="AT10" s="32">
        <f>COUNTIF($C9:$AF12,"○")</f>
        <v>4</v>
      </c>
      <c r="AU10" s="32">
        <f>COUNTIF($C9:$AF12,"△")</f>
        <v>0</v>
      </c>
      <c r="AV10" s="32">
        <f>COUNTIF($C9:$AF12,"●")</f>
        <v>1</v>
      </c>
      <c r="AW10" s="67">
        <f>AT10*3+AU10</f>
        <v>12</v>
      </c>
      <c r="AX10" s="30"/>
      <c r="AY10" s="30"/>
      <c r="BA10" s="63">
        <f>IF(F10&lt;&gt;"",F10,0)</f>
        <v>9</v>
      </c>
      <c r="BB10" s="63">
        <f>IF(K10&lt;&gt;"",K10,0)</f>
        <v>0</v>
      </c>
      <c r="BC10" s="63">
        <f>IF(P10&lt;&gt;"",P10,0)</f>
        <v>5</v>
      </c>
      <c r="BD10" s="63">
        <f>IF(U10&lt;&gt;"",U10,0)</f>
        <v>1</v>
      </c>
      <c r="BE10" s="63">
        <f>IF(Z10&lt;&gt;"",Z10,0)</f>
        <v>4</v>
      </c>
      <c r="BF10" s="63">
        <f>IF(AE10&lt;&gt;"",AE10,0)</f>
        <v>2</v>
      </c>
    </row>
    <row r="11" spans="2:58" ht="24" customHeight="1" thickBot="1">
      <c r="B11" s="346"/>
      <c r="C11" s="203">
        <f>VLOOKUP("後"&amp;$B9&amp;E$31,'２部北対戦表'!$S$1:$V$89,4,FALSE)</f>
        <v>40476</v>
      </c>
      <c r="D11" s="204"/>
      <c r="E11" s="204"/>
      <c r="F11" s="204"/>
      <c r="G11" s="205"/>
      <c r="H11" s="351"/>
      <c r="I11" s="352"/>
      <c r="J11" s="352"/>
      <c r="K11" s="352"/>
      <c r="L11" s="353"/>
      <c r="M11" s="203">
        <f>VLOOKUP("後"&amp;$B9&amp;O$31,'２部北対戦表'!$S$1:$V$89,4,FALSE)</f>
        <v>40455</v>
      </c>
      <c r="N11" s="204"/>
      <c r="O11" s="204"/>
      <c r="P11" s="204"/>
      <c r="Q11" s="205"/>
      <c r="R11" s="246">
        <f>VLOOKUP("後"&amp;$B9&amp;T$31,'２部北対戦表'!$S$1:$V$89,4,FALSE)</f>
        <v>40427</v>
      </c>
      <c r="S11" s="247"/>
      <c r="T11" s="247"/>
      <c r="U11" s="247"/>
      <c r="V11" s="248"/>
      <c r="W11" s="246">
        <f>VLOOKUP("後"&amp;$B9&amp;Y$31,'２部北対戦表'!$S$1:$V$89,4,FALSE)</f>
        <v>40420</v>
      </c>
      <c r="X11" s="247"/>
      <c r="Y11" s="247"/>
      <c r="Z11" s="247"/>
      <c r="AA11" s="248"/>
      <c r="AB11" s="246">
        <f>VLOOKUP("後"&amp;$B9&amp;AD$31,'２部北対戦表'!$S$1:$V$89,4,FALSE)</f>
        <v>40463</v>
      </c>
      <c r="AC11" s="247"/>
      <c r="AD11" s="247"/>
      <c r="AE11" s="247"/>
      <c r="AF11" s="247"/>
      <c r="AG11" s="223"/>
      <c r="AH11" s="214"/>
      <c r="AI11" s="214"/>
      <c r="AJ11" s="375"/>
      <c r="AK11" s="261"/>
      <c r="AL11" s="261"/>
      <c r="AM11" s="258"/>
      <c r="AN11" s="227"/>
      <c r="AP11" s="264"/>
      <c r="AQ11" s="61"/>
      <c r="AR11" s="382"/>
      <c r="AS11" s="61"/>
      <c r="AT11" s="75" t="s">
        <v>96</v>
      </c>
      <c r="AU11" s="75" t="s">
        <v>97</v>
      </c>
      <c r="AV11" s="75" t="s">
        <v>98</v>
      </c>
      <c r="AW11" s="31"/>
      <c r="AX11" s="31" t="s">
        <v>141</v>
      </c>
      <c r="AY11" s="65">
        <f>IF(AND(AT10=0,AU10=0,AV10=0),0,+AJ9*1000+AM9+IF(AR10=$AT$4,100,0)+IF(AR10=$AV$4,-100,0))</f>
        <v>12012</v>
      </c>
      <c r="BA11" s="63">
        <f>IF(D12&lt;&gt;"",D12,0)</f>
        <v>0</v>
      </c>
      <c r="BB11" s="63">
        <f>IF(I12&lt;&gt;"",I12,0)</f>
        <v>0</v>
      </c>
      <c r="BC11" s="63">
        <f>IF(N12&lt;&gt;"",N12,0)</f>
        <v>0</v>
      </c>
      <c r="BD11" s="63">
        <f>IF(S12&lt;&gt;"",S12,0)</f>
        <v>0</v>
      </c>
      <c r="BE11" s="63">
        <f>IF(X12&lt;&gt;"",X12,0)</f>
        <v>0</v>
      </c>
      <c r="BF11" s="63">
        <f>IF(AC12&lt;&gt;"",AC12,0)</f>
        <v>0</v>
      </c>
    </row>
    <row r="12" spans="2:58" ht="24" customHeight="1">
      <c r="B12" s="347"/>
      <c r="C12" s="38" t="s">
        <v>84</v>
      </c>
      <c r="D12" s="39">
        <f>VLOOKUP("後"&amp;$B9&amp;E$31,'２部北対戦表'!$S$1:$V$89,2,FALSE)</f>
      </c>
      <c r="E12" s="39">
        <f>IF(D12&lt;&gt;"",IF(D12&gt;F12,"○",IF(D12&lt;F12,"●","△")),"")</f>
      </c>
      <c r="F12" s="39">
        <f>VLOOKUP("後"&amp;$B9&amp;E$31,'２部北対戦表'!$S$1:$V$89,3,FALSE)</f>
      </c>
      <c r="G12" s="40" t="s">
        <v>85</v>
      </c>
      <c r="H12" s="354"/>
      <c r="I12" s="355"/>
      <c r="J12" s="355"/>
      <c r="K12" s="355"/>
      <c r="L12" s="356"/>
      <c r="M12" s="38" t="s">
        <v>84</v>
      </c>
      <c r="N12" s="39">
        <f>VLOOKUP("後"&amp;$B9&amp;O$31,'２部北対戦表'!$S$1:$V$89,2,FALSE)</f>
      </c>
      <c r="O12" s="39">
        <f>IF(N12&lt;&gt;"",IF(N12&gt;P12,"○",IF(N12&lt;P12,"●","△")),"")</f>
      </c>
      <c r="P12" s="39">
        <f>VLOOKUP("後"&amp;$B9&amp;O$31,'２部北対戦表'!$S$1:$V$89,3,FALSE)</f>
      </c>
      <c r="Q12" s="40" t="s">
        <v>85</v>
      </c>
      <c r="R12" s="38" t="s">
        <v>84</v>
      </c>
      <c r="S12" s="39">
        <f>VLOOKUP("後"&amp;$B9&amp;T$31,'２部北対戦表'!$S$1:$V$89,2,FALSE)</f>
      </c>
      <c r="T12" s="39">
        <f>IF(S12&lt;&gt;"",IF(S12&gt;U12,"○",IF(S12&lt;U12,"●","△")),"")</f>
      </c>
      <c r="U12" s="39">
        <f>VLOOKUP("後"&amp;$B9&amp;T$31,'２部北対戦表'!$S$1:$V$89,3,FALSE)</f>
      </c>
      <c r="V12" s="40" t="s">
        <v>85</v>
      </c>
      <c r="W12" s="38" t="s">
        <v>84</v>
      </c>
      <c r="X12" s="39">
        <f>VLOOKUP("後"&amp;$B9&amp;Y$31,'２部北対戦表'!$S$1:$V$89,2,FALSE)</f>
      </c>
      <c r="Y12" s="39">
        <f>IF(X12&lt;&gt;"",IF(X12&gt;Z12,"○",IF(X12&lt;Z12,"●","△")),"")</f>
      </c>
      <c r="Z12" s="39">
        <f>VLOOKUP("後"&amp;$B9&amp;Y$31,'２部北対戦表'!$S$1:$V$89,3,FALSE)</f>
      </c>
      <c r="AA12" s="40" t="s">
        <v>85</v>
      </c>
      <c r="AB12" s="38" t="s">
        <v>84</v>
      </c>
      <c r="AC12" s="39">
        <f>VLOOKUP("後"&amp;$B9&amp;AD$31,'２部北対戦表'!$S$1:$V$89,2,FALSE)</f>
      </c>
      <c r="AD12" s="39">
        <f>IF(AC12&lt;&gt;"",IF(AC12&gt;AE12,"○",IF(AC12&lt;AE12,"●","△")),"")</f>
      </c>
      <c r="AE12" s="39">
        <f>VLOOKUP("後"&amp;$B9&amp;AD$31,'２部北対戦表'!$S$1:$V$89,3,FALSE)</f>
      </c>
      <c r="AF12" s="39" t="s">
        <v>85</v>
      </c>
      <c r="AG12" s="224"/>
      <c r="AH12" s="225"/>
      <c r="AI12" s="225"/>
      <c r="AJ12" s="378"/>
      <c r="AK12" s="262"/>
      <c r="AL12" s="262"/>
      <c r="AM12" s="259"/>
      <c r="AN12" s="228"/>
      <c r="AT12" s="75">
        <f>SUM(BA9:BF9)+SUM(BA11:BF11)</f>
        <v>33</v>
      </c>
      <c r="AU12" s="75">
        <f>SUM(BA10:BF10)+SUM(BA12:BF12)</f>
        <v>21</v>
      </c>
      <c r="AV12" s="57">
        <f>+AT12-AU12</f>
        <v>12</v>
      </c>
      <c r="AW12" s="31"/>
      <c r="AX12" s="31"/>
      <c r="AY12" s="31"/>
      <c r="BA12" s="64">
        <f>IF(F12&lt;&gt;"",F12,0)</f>
        <v>0</v>
      </c>
      <c r="BB12" s="64">
        <f>IF(K12&lt;&gt;"",K12,0)</f>
        <v>0</v>
      </c>
      <c r="BC12" s="64">
        <f>IF(P12&lt;&gt;"",P12,0)</f>
        <v>0</v>
      </c>
      <c r="BD12" s="64">
        <f>IF(U12&lt;&gt;"",U12,0)</f>
        <v>0</v>
      </c>
      <c r="BE12" s="64">
        <f>IF(Z12&lt;&gt;"",Z12,0)</f>
        <v>0</v>
      </c>
      <c r="BF12" s="64">
        <f>IF(AE12&lt;&gt;"",AE12,0)</f>
        <v>0</v>
      </c>
    </row>
    <row r="13" spans="2:58" ht="24" customHeight="1" thickBot="1">
      <c r="B13" s="109" t="str">
        <f>+AN57</f>
        <v>北Ｂ</v>
      </c>
      <c r="C13" s="200">
        <f>VLOOKUP("前"&amp;$B13&amp;E$31,'２部北対戦表'!$S$1:$V$89,4,FALSE)</f>
        <v>40371</v>
      </c>
      <c r="D13" s="201"/>
      <c r="E13" s="201"/>
      <c r="F13" s="201"/>
      <c r="G13" s="202"/>
      <c r="H13" s="200">
        <f>VLOOKUP("前"&amp;$B13&amp;J$31,'２部北対戦表'!$S$1:$V$89,4,FALSE)</f>
        <v>40343</v>
      </c>
      <c r="I13" s="201"/>
      <c r="J13" s="201"/>
      <c r="K13" s="201"/>
      <c r="L13" s="202"/>
      <c r="M13" s="348"/>
      <c r="N13" s="349"/>
      <c r="O13" s="349"/>
      <c r="P13" s="349"/>
      <c r="Q13" s="350"/>
      <c r="R13" s="200">
        <f>VLOOKUP("前"&amp;$B13&amp;T$31,'２部北対戦表'!$S$1:$V$89,4,FALSE)</f>
        <v>40336</v>
      </c>
      <c r="S13" s="201"/>
      <c r="T13" s="201"/>
      <c r="U13" s="201"/>
      <c r="V13" s="202"/>
      <c r="W13" s="200">
        <f>VLOOKUP("前"&amp;$B13&amp;Y$31,'２部北対戦表'!$S$1:$V$89,4,FALSE)</f>
        <v>40315</v>
      </c>
      <c r="X13" s="201"/>
      <c r="Y13" s="201"/>
      <c r="Z13" s="201"/>
      <c r="AA13" s="202"/>
      <c r="AB13" s="200">
        <f>VLOOKUP("前"&amp;$B13&amp;AD$31,'２部北対戦表'!$S$1:$V$89,4,FALSE)</f>
        <v>40357</v>
      </c>
      <c r="AC13" s="201"/>
      <c r="AD13" s="201"/>
      <c r="AE13" s="201"/>
      <c r="AF13" s="201"/>
      <c r="AG13" s="223">
        <f>IF(AND($AT14=0,$AU14=0,$AV14=0),"",AT14)</f>
        <v>3</v>
      </c>
      <c r="AH13" s="214">
        <f>IF(AND($AT14=0,$AU14=0,$AV14=0),"",AU14)</f>
        <v>0</v>
      </c>
      <c r="AI13" s="214">
        <f>IF(AND($AT14=0,$AU14=0,$AV14=0),"",AV14)</f>
        <v>2</v>
      </c>
      <c r="AJ13" s="377">
        <f>IF(AND($AT14=0,$AU14=0,$AV14=0),"",AW14+AP14)</f>
        <v>9</v>
      </c>
      <c r="AK13" s="260">
        <f>IF(AND($AT14=0,$AU14=0,$AV14=0),"",AT16)</f>
        <v>14</v>
      </c>
      <c r="AL13" s="260">
        <f>IF(AND($AT14=0,$AU14=0,$AV14=0),"",AU16)</f>
        <v>16</v>
      </c>
      <c r="AM13" s="257">
        <f>IF(AND($AT14=0,$AU14=0,$AV14=0),"",AV16)</f>
        <v>-2</v>
      </c>
      <c r="AN13" s="226">
        <f>IF(AND($AT14=0,$AU14=0,$AV14=0),"",RANK(AY15,AY$7:AY$27))</f>
        <v>3</v>
      </c>
      <c r="AT13" s="67" t="s">
        <v>92</v>
      </c>
      <c r="AU13" s="67" t="s">
        <v>93</v>
      </c>
      <c r="AV13" s="67" t="s">
        <v>94</v>
      </c>
      <c r="AW13" s="67" t="s">
        <v>95</v>
      </c>
      <c r="AX13" s="30"/>
      <c r="AY13" s="30"/>
      <c r="BA13" s="62">
        <f>IF(D14&lt;&gt;"",D14,0)</f>
        <v>1</v>
      </c>
      <c r="BB13" s="62">
        <f>IF(I14&lt;&gt;"",I14,0)</f>
        <v>5</v>
      </c>
      <c r="BC13" s="62">
        <f>IF(N14&lt;&gt;"",N14,0)</f>
        <v>0</v>
      </c>
      <c r="BD13" s="62">
        <f>IF(S14&lt;&gt;"",S14,0)</f>
        <v>2</v>
      </c>
      <c r="BE13" s="62">
        <f>IF(X14&lt;&gt;"",X14,0)</f>
        <v>3</v>
      </c>
      <c r="BF13" s="62">
        <f>IF(AC14&lt;&gt;"",AC14,0)</f>
        <v>3</v>
      </c>
    </row>
    <row r="14" spans="2:58" ht="24" customHeight="1">
      <c r="B14" s="346" t="str">
        <f>VLOOKUP(B13,'参加チーム'!$B$5:$G$73,IF($AG$3=1,4,5),FALSE)</f>
        <v>ヴィヴァーレ</v>
      </c>
      <c r="C14" s="41" t="s">
        <v>84</v>
      </c>
      <c r="D14" s="42">
        <f>VLOOKUP("前"&amp;$B13&amp;E$31,'２部北対戦表'!$S$1:$V$89,2,FALSE)</f>
        <v>1</v>
      </c>
      <c r="E14" s="42" t="str">
        <f>IF(D14&lt;&gt;"",IF(D14&gt;F14,"○",IF(D14&lt;F14,"●","△")),"-")</f>
        <v>●</v>
      </c>
      <c r="F14" s="42">
        <f>VLOOKUP("前"&amp;$B13&amp;E$31,'２部北対戦表'!$S$1:$V$89,3,FALSE)</f>
        <v>5</v>
      </c>
      <c r="G14" s="43" t="s">
        <v>85</v>
      </c>
      <c r="H14" s="41" t="s">
        <v>84</v>
      </c>
      <c r="I14" s="42">
        <f>VLOOKUP("前"&amp;$B13&amp;J$31,'２部北対戦表'!$S$1:$V$89,2,FALSE)</f>
        <v>5</v>
      </c>
      <c r="J14" s="42" t="str">
        <f>IF(I14&lt;&gt;"",IF(I14&gt;K14,"○",IF(I14&lt;K14,"●","△")),"-")</f>
        <v>●</v>
      </c>
      <c r="K14" s="42">
        <f>VLOOKUP("前"&amp;$B13&amp;J$31,'２部北対戦表'!$S$1:$V$89,3,FALSE)</f>
        <v>8</v>
      </c>
      <c r="L14" s="43" t="s">
        <v>85</v>
      </c>
      <c r="M14" s="351"/>
      <c r="N14" s="352"/>
      <c r="O14" s="352"/>
      <c r="P14" s="352"/>
      <c r="Q14" s="353"/>
      <c r="R14" s="41" t="s">
        <v>84</v>
      </c>
      <c r="S14" s="42">
        <f>VLOOKUP("前"&amp;$B13&amp;T$31,'２部北対戦表'!$S$1:$V$89,2,FALSE)</f>
        <v>2</v>
      </c>
      <c r="T14" s="42" t="str">
        <f>IF(S14&lt;&gt;"",IF(S14&gt;U14,"○",IF(S14&lt;U14,"●","△")),"-")</f>
        <v>○</v>
      </c>
      <c r="U14" s="42">
        <f>VLOOKUP("前"&amp;$B13&amp;T$31,'２部北対戦表'!$S$1:$V$89,3,FALSE)</f>
        <v>1</v>
      </c>
      <c r="V14" s="43" t="s">
        <v>85</v>
      </c>
      <c r="W14" s="41" t="s">
        <v>84</v>
      </c>
      <c r="X14" s="42">
        <f>VLOOKUP("前"&amp;$B13&amp;Y$31,'２部北対戦表'!$S$1:$V$89,2,FALSE)</f>
        <v>3</v>
      </c>
      <c r="Y14" s="42" t="str">
        <f>IF(X14&lt;&gt;"",IF(X14&gt;Z14,"○",IF(X14&lt;Z14,"●","△")),"-")</f>
        <v>○</v>
      </c>
      <c r="Z14" s="42">
        <f>VLOOKUP("前"&amp;$B13&amp;Y$31,'２部北対戦表'!$S$1:$V$89,3,FALSE)</f>
        <v>1</v>
      </c>
      <c r="AA14" s="43" t="s">
        <v>85</v>
      </c>
      <c r="AB14" s="41" t="s">
        <v>84</v>
      </c>
      <c r="AC14" s="42">
        <f>VLOOKUP("前"&amp;$B13&amp;AD$31,'２部北対戦表'!$S$1:$V$89,2,FALSE)</f>
        <v>3</v>
      </c>
      <c r="AD14" s="42" t="str">
        <f>IF(AC14&lt;&gt;"",IF(AC14&gt;AE14,"○",IF(AC14&lt;AE14,"●","△")),"-")</f>
        <v>○</v>
      </c>
      <c r="AE14" s="42">
        <f>VLOOKUP("前"&amp;$B13&amp;AD$31,'２部北対戦表'!$S$1:$V$89,3,FALSE)</f>
        <v>1</v>
      </c>
      <c r="AF14" s="42" t="s">
        <v>85</v>
      </c>
      <c r="AG14" s="223"/>
      <c r="AH14" s="214"/>
      <c r="AI14" s="214"/>
      <c r="AJ14" s="375"/>
      <c r="AK14" s="261"/>
      <c r="AL14" s="261"/>
      <c r="AM14" s="258"/>
      <c r="AN14" s="227"/>
      <c r="AP14" s="263"/>
      <c r="AQ14" s="61"/>
      <c r="AR14" s="274" t="s">
        <v>133</v>
      </c>
      <c r="AS14" s="61"/>
      <c r="AT14" s="32">
        <f>COUNTIF($C13:$AF16,"○")</f>
        <v>3</v>
      </c>
      <c r="AU14" s="32">
        <f>COUNTIF($C13:$AF16,"△")</f>
        <v>0</v>
      </c>
      <c r="AV14" s="32">
        <f>COUNTIF($C13:$AF16,"●")</f>
        <v>2</v>
      </c>
      <c r="AW14" s="67">
        <f>AT14*3+AU14</f>
        <v>9</v>
      </c>
      <c r="AX14" s="30"/>
      <c r="AY14" s="30"/>
      <c r="BA14" s="63">
        <f>IF(F14&lt;&gt;"",F14,0)</f>
        <v>5</v>
      </c>
      <c r="BB14" s="63">
        <f>IF(K14&lt;&gt;"",K14,0)</f>
        <v>8</v>
      </c>
      <c r="BC14" s="63">
        <f>IF(P14&lt;&gt;"",P14,0)</f>
        <v>0</v>
      </c>
      <c r="BD14" s="63">
        <f>IF(U14&lt;&gt;"",U14,0)</f>
        <v>1</v>
      </c>
      <c r="BE14" s="63">
        <f>IF(Z14&lt;&gt;"",Z14,0)</f>
        <v>1</v>
      </c>
      <c r="BF14" s="63">
        <f>IF(AE14&lt;&gt;"",AE14,0)</f>
        <v>1</v>
      </c>
    </row>
    <row r="15" spans="2:58" ht="24" customHeight="1" thickBot="1">
      <c r="B15" s="346"/>
      <c r="C15" s="203">
        <f>VLOOKUP("後"&amp;$B13&amp;E$31,'２部北対戦表'!$S$1:$V$89,4,FALSE)</f>
        <v>40463</v>
      </c>
      <c r="D15" s="204"/>
      <c r="E15" s="204"/>
      <c r="F15" s="204"/>
      <c r="G15" s="205"/>
      <c r="H15" s="203">
        <f>VLOOKUP("後"&amp;$B13&amp;J$31,'２部北対戦表'!$S$1:$V$89,4,FALSE)</f>
        <v>40455</v>
      </c>
      <c r="I15" s="204"/>
      <c r="J15" s="204"/>
      <c r="K15" s="204"/>
      <c r="L15" s="205"/>
      <c r="M15" s="351"/>
      <c r="N15" s="352"/>
      <c r="O15" s="352"/>
      <c r="P15" s="352"/>
      <c r="Q15" s="353"/>
      <c r="R15" s="246">
        <f>VLOOKUP("後"&amp;$B13&amp;T$31,'２部北対戦表'!$S$1:$V$89,4,FALSE)</f>
        <v>40420</v>
      </c>
      <c r="S15" s="247"/>
      <c r="T15" s="247"/>
      <c r="U15" s="247"/>
      <c r="V15" s="248"/>
      <c r="W15" s="246">
        <f>VLOOKUP("後"&amp;$B13&amp;Y$31,'２部北対戦表'!$S$1:$V$89,4,FALSE)</f>
        <v>40476</v>
      </c>
      <c r="X15" s="247"/>
      <c r="Y15" s="247"/>
      <c r="Z15" s="247"/>
      <c r="AA15" s="248"/>
      <c r="AB15" s="246">
        <f>VLOOKUP("後"&amp;$B13&amp;AD$31,'２部北対戦表'!$S$1:$V$89,4,FALSE)</f>
        <v>40427</v>
      </c>
      <c r="AC15" s="247"/>
      <c r="AD15" s="247"/>
      <c r="AE15" s="247"/>
      <c r="AF15" s="247"/>
      <c r="AG15" s="223"/>
      <c r="AH15" s="214"/>
      <c r="AI15" s="214"/>
      <c r="AJ15" s="375"/>
      <c r="AK15" s="261"/>
      <c r="AL15" s="261"/>
      <c r="AM15" s="258"/>
      <c r="AN15" s="227"/>
      <c r="AP15" s="264"/>
      <c r="AQ15" s="61"/>
      <c r="AR15" s="275"/>
      <c r="AS15" s="61"/>
      <c r="AT15" s="75" t="s">
        <v>96</v>
      </c>
      <c r="AU15" s="75" t="s">
        <v>97</v>
      </c>
      <c r="AV15" s="75" t="s">
        <v>98</v>
      </c>
      <c r="AW15" s="31"/>
      <c r="AX15" s="31" t="s">
        <v>141</v>
      </c>
      <c r="AY15" s="65">
        <f>IF(AND(AT14=0,AU14=0,AV14=0),0,+AJ13*1000+AM13+IF(AR14=$AT$4,100,0)+IF(AR14=$AV$4,-100,0))</f>
        <v>8998</v>
      </c>
      <c r="BA15" s="63">
        <f>IF(D16&lt;&gt;"",D16,0)</f>
        <v>0</v>
      </c>
      <c r="BB15" s="63">
        <f>IF(I16&lt;&gt;"",I16,0)</f>
        <v>0</v>
      </c>
      <c r="BC15" s="63">
        <f>IF(N16&lt;&gt;"",N16,0)</f>
        <v>0</v>
      </c>
      <c r="BD15" s="63">
        <f>IF(S16&lt;&gt;"",S16,0)</f>
        <v>0</v>
      </c>
      <c r="BE15" s="63">
        <f>IF(X16&lt;&gt;"",X16,0)</f>
        <v>0</v>
      </c>
      <c r="BF15" s="63">
        <f>IF(AC16&lt;&gt;"",AC16,0)</f>
        <v>0</v>
      </c>
    </row>
    <row r="16" spans="2:58" ht="24" customHeight="1">
      <c r="B16" s="347"/>
      <c r="C16" s="38" t="s">
        <v>84</v>
      </c>
      <c r="D16" s="39">
        <f>VLOOKUP("後"&amp;$B13&amp;E$31,'２部北対戦表'!$S$1:$V$89,2,FALSE)</f>
      </c>
      <c r="E16" s="39">
        <f>IF(D16&lt;&gt;"",IF(D16&gt;F16,"○",IF(D16&lt;F16,"●","△")),"")</f>
      </c>
      <c r="F16" s="39">
        <f>VLOOKUP("後"&amp;$B13&amp;E$31,'２部北対戦表'!$S$1:$V$89,3,FALSE)</f>
      </c>
      <c r="G16" s="40" t="s">
        <v>85</v>
      </c>
      <c r="H16" s="38" t="s">
        <v>84</v>
      </c>
      <c r="I16" s="39">
        <f>VLOOKUP("後"&amp;$B13&amp;J$31,'２部北対戦表'!$S$1:$V$89,2,FALSE)</f>
      </c>
      <c r="J16" s="39">
        <f>IF(I16&lt;&gt;"",IF(I16&gt;K16,"○",IF(I16&lt;K16,"●","△")),"")</f>
      </c>
      <c r="K16" s="39">
        <f>VLOOKUP("後"&amp;$B13&amp;J$31,'２部北対戦表'!$S$1:$V$89,3,FALSE)</f>
      </c>
      <c r="L16" s="40" t="s">
        <v>85</v>
      </c>
      <c r="M16" s="354"/>
      <c r="N16" s="355"/>
      <c r="O16" s="355"/>
      <c r="P16" s="355"/>
      <c r="Q16" s="356"/>
      <c r="R16" s="38" t="s">
        <v>84</v>
      </c>
      <c r="S16" s="39">
        <f>VLOOKUP("後"&amp;$B13&amp;T$31,'２部北対戦表'!$S$1:$V$89,2,FALSE)</f>
      </c>
      <c r="T16" s="39">
        <f>IF(S16&lt;&gt;"",IF(S16&gt;U16,"○",IF(S16&lt;U16,"●","△")),"")</f>
      </c>
      <c r="U16" s="39">
        <f>VLOOKUP("後"&amp;$B13&amp;T$31,'２部北対戦表'!$S$1:$V$89,3,FALSE)</f>
      </c>
      <c r="V16" s="40" t="s">
        <v>85</v>
      </c>
      <c r="W16" s="38" t="s">
        <v>84</v>
      </c>
      <c r="X16" s="39">
        <f>VLOOKUP("後"&amp;$B13&amp;Y$31,'２部北対戦表'!$S$1:$V$89,2,FALSE)</f>
      </c>
      <c r="Y16" s="39">
        <f>IF(X16&lt;&gt;"",IF(X16&gt;Z16,"○",IF(X16&lt;Z16,"●","△")),"")</f>
      </c>
      <c r="Z16" s="39">
        <f>VLOOKUP("後"&amp;$B13&amp;Y$31,'２部北対戦表'!$S$1:$V$89,3,FALSE)</f>
      </c>
      <c r="AA16" s="40" t="s">
        <v>85</v>
      </c>
      <c r="AB16" s="38" t="s">
        <v>84</v>
      </c>
      <c r="AC16" s="39">
        <f>VLOOKUP("後"&amp;$B13&amp;AD$31,'２部北対戦表'!$S$1:$V$89,2,FALSE)</f>
      </c>
      <c r="AD16" s="39">
        <f>IF(AC16&lt;&gt;"",IF(AC16&gt;AE16,"○",IF(AC16&lt;AE16,"●","△")),"")</f>
      </c>
      <c r="AE16" s="39">
        <f>VLOOKUP("後"&amp;$B13&amp;AD$31,'２部北対戦表'!$S$1:$V$89,3,FALSE)</f>
      </c>
      <c r="AF16" s="39" t="s">
        <v>85</v>
      </c>
      <c r="AG16" s="224"/>
      <c r="AH16" s="225"/>
      <c r="AI16" s="225"/>
      <c r="AJ16" s="378"/>
      <c r="AK16" s="262"/>
      <c r="AL16" s="262"/>
      <c r="AM16" s="259"/>
      <c r="AN16" s="228"/>
      <c r="AT16" s="75">
        <f>SUM(BA13:BF13)+SUM(BA15:BF15)</f>
        <v>14</v>
      </c>
      <c r="AU16" s="75">
        <f>SUM(BA14:BF14)+SUM(BA16:BF16)</f>
        <v>16</v>
      </c>
      <c r="AV16" s="57">
        <f>+AT16-AU16</f>
        <v>-2</v>
      </c>
      <c r="AW16" s="31"/>
      <c r="AX16" s="31"/>
      <c r="AY16" s="31"/>
      <c r="BA16" s="64">
        <f>IF(F16&lt;&gt;"",F16,0)</f>
        <v>0</v>
      </c>
      <c r="BB16" s="64">
        <f>IF(K16&lt;&gt;"",K16,0)</f>
        <v>0</v>
      </c>
      <c r="BC16" s="64">
        <f>IF(P16&lt;&gt;"",P16,0)</f>
        <v>0</v>
      </c>
      <c r="BD16" s="64">
        <f>IF(U16&lt;&gt;"",U16,0)</f>
        <v>0</v>
      </c>
      <c r="BE16" s="64">
        <f>IF(Z16&lt;&gt;"",Z16,0)</f>
        <v>0</v>
      </c>
      <c r="BF16" s="64">
        <f>IF(AE16&lt;&gt;"",AE16,0)</f>
        <v>0</v>
      </c>
    </row>
    <row r="17" spans="2:58" ht="24" customHeight="1" thickBot="1">
      <c r="B17" s="109" t="str">
        <f>+AN58</f>
        <v>北Ｄ</v>
      </c>
      <c r="C17" s="359">
        <f>VLOOKUP("前"&amp;$B17&amp;E$31,'２部北対戦表'!$S$1:$V$89,4,FALSE)</f>
        <v>40343</v>
      </c>
      <c r="D17" s="201"/>
      <c r="E17" s="201"/>
      <c r="F17" s="201"/>
      <c r="G17" s="202"/>
      <c r="H17" s="200">
        <f>VLOOKUP("前"&amp;$B17&amp;J$31,'２部北対戦表'!$S$1:$V$89,4,FALSE)</f>
        <v>40315</v>
      </c>
      <c r="I17" s="201"/>
      <c r="J17" s="201"/>
      <c r="K17" s="201"/>
      <c r="L17" s="202"/>
      <c r="M17" s="200">
        <f>VLOOKUP("前"&amp;$B17&amp;O$31,'２部北対戦表'!$S$1:$V$89,4,FALSE)</f>
        <v>40336</v>
      </c>
      <c r="N17" s="201"/>
      <c r="O17" s="201"/>
      <c r="P17" s="201"/>
      <c r="Q17" s="202"/>
      <c r="R17" s="348"/>
      <c r="S17" s="349"/>
      <c r="T17" s="349"/>
      <c r="U17" s="349"/>
      <c r="V17" s="350"/>
      <c r="W17" s="200">
        <f>VLOOKUP("前"&amp;$B17&amp;Y$31,'２部北対戦表'!$S$1:$V$89,4,FALSE)</f>
        <v>40357</v>
      </c>
      <c r="X17" s="201"/>
      <c r="Y17" s="201"/>
      <c r="Z17" s="201"/>
      <c r="AA17" s="202"/>
      <c r="AB17" s="200">
        <f>VLOOKUP("前"&amp;$B17&amp;AD$31,'２部北対戦表'!$S$1:$V$89,4,FALSE)</f>
        <v>40371</v>
      </c>
      <c r="AC17" s="201"/>
      <c r="AD17" s="201"/>
      <c r="AE17" s="201"/>
      <c r="AF17" s="201"/>
      <c r="AG17" s="223">
        <f>IF(AND($AT18=0,$AU18=0,$AV18=0),"",AT18)</f>
        <v>2</v>
      </c>
      <c r="AH17" s="214">
        <f>IF(AND($AT18=0,$AU18=0,$AV18=0),"",AU18)</f>
        <v>0</v>
      </c>
      <c r="AI17" s="214">
        <f>IF(AND($AT18=0,$AU18=0,$AV18=0),"",AV18)</f>
        <v>3</v>
      </c>
      <c r="AJ17" s="377">
        <f>IF(AND($AT18=0,$AU18=0,$AV18=0),"",AW18+AP18)</f>
        <v>6</v>
      </c>
      <c r="AK17" s="260">
        <f>IF(AND($AT18=0,$AU18=0,$AV18=0),"",AT20)</f>
        <v>9</v>
      </c>
      <c r="AL17" s="260">
        <f>IF(AND($AT18=0,$AU18=0,$AV18=0),"",AU20)</f>
        <v>22</v>
      </c>
      <c r="AM17" s="257">
        <f>IF(AND($AT18=0,$AU18=0,$AV18=0),"",AV20)</f>
        <v>-13</v>
      </c>
      <c r="AN17" s="226">
        <f>IF(AND($AT18=0,$AU18=0,$AV18=0),"",RANK(AY19,AY$7:AY$27))</f>
        <v>4</v>
      </c>
      <c r="AO17" s="104"/>
      <c r="AP17" s="104"/>
      <c r="AQ17" s="104"/>
      <c r="AR17" s="104"/>
      <c r="AS17" s="104"/>
      <c r="AT17" s="67" t="s">
        <v>92</v>
      </c>
      <c r="AU17" s="67" t="s">
        <v>93</v>
      </c>
      <c r="AV17" s="67" t="s">
        <v>94</v>
      </c>
      <c r="AW17" s="67" t="s">
        <v>95</v>
      </c>
      <c r="AX17" s="30"/>
      <c r="AY17" s="30"/>
      <c r="BA17" s="62">
        <f>IF(D18&lt;&gt;"",D18,0)</f>
        <v>2</v>
      </c>
      <c r="BB17" s="62">
        <f>IF(I18&lt;&gt;"",I18,0)</f>
        <v>1</v>
      </c>
      <c r="BC17" s="62">
        <f>IF(N18&lt;&gt;"",N18,0)</f>
        <v>1</v>
      </c>
      <c r="BD17" s="62">
        <f>IF(S18&lt;&gt;"",S18,0)</f>
        <v>0</v>
      </c>
      <c r="BE17" s="62">
        <f>IF(X18&lt;&gt;"",X18,0)</f>
        <v>3</v>
      </c>
      <c r="BF17" s="62">
        <f>IF(AC18&lt;&gt;"",AC18,0)</f>
        <v>2</v>
      </c>
    </row>
    <row r="18" spans="2:58" ht="24" customHeight="1">
      <c r="B18" s="346" t="str">
        <f>VLOOKUP(B17,'参加チーム'!$B$5:$G$73,IF($AG$3=1,4,5),FALSE)</f>
        <v>ステラミーゴ</v>
      </c>
      <c r="C18" s="41" t="s">
        <v>84</v>
      </c>
      <c r="D18" s="42">
        <f>VLOOKUP("前"&amp;$B17&amp;E$31,'２部北対戦表'!$S$1:$V$89,2,FALSE)</f>
        <v>2</v>
      </c>
      <c r="E18" s="42" t="str">
        <f>IF(D18&lt;&gt;"",IF(D18&gt;F18,"○",IF(D18&lt;F18,"●","△")),"-")</f>
        <v>●</v>
      </c>
      <c r="F18" s="42">
        <f>VLOOKUP("前"&amp;$B17&amp;E$31,'２部北対戦表'!$S$1:$V$89,3,FALSE)</f>
        <v>12</v>
      </c>
      <c r="G18" s="43" t="s">
        <v>85</v>
      </c>
      <c r="H18" s="41" t="s">
        <v>84</v>
      </c>
      <c r="I18" s="42">
        <f>VLOOKUP("前"&amp;$B17&amp;J$31,'２部北対戦表'!$S$1:$V$89,2,FALSE)</f>
        <v>1</v>
      </c>
      <c r="J18" s="42" t="str">
        <f>IF(I18&lt;&gt;"",IF(I18&gt;K18,"○",IF(I18&lt;K18,"●","△")),"-")</f>
        <v>●</v>
      </c>
      <c r="K18" s="42">
        <f>VLOOKUP("前"&amp;$B17&amp;J$31,'２部北対戦表'!$S$1:$V$89,3,FALSE)</f>
        <v>6</v>
      </c>
      <c r="L18" s="43" t="s">
        <v>85</v>
      </c>
      <c r="M18" s="41" t="s">
        <v>84</v>
      </c>
      <c r="N18" s="42">
        <f>VLOOKUP("前"&amp;$B17&amp;O$31,'２部北対戦表'!$S$1:$V$89,2,FALSE)</f>
        <v>1</v>
      </c>
      <c r="O18" s="42" t="str">
        <f>IF(N18&lt;&gt;"",IF(N18&gt;P18,"○",IF(N18&lt;P18,"●","△")),"-")</f>
        <v>●</v>
      </c>
      <c r="P18" s="42">
        <f>VLOOKUP("前"&amp;$B17&amp;O$31,'２部北対戦表'!$S$1:$V$89,3,FALSE)</f>
        <v>2</v>
      </c>
      <c r="Q18" s="43" t="s">
        <v>85</v>
      </c>
      <c r="R18" s="351"/>
      <c r="S18" s="352"/>
      <c r="T18" s="352"/>
      <c r="U18" s="352"/>
      <c r="V18" s="353"/>
      <c r="W18" s="41" t="s">
        <v>84</v>
      </c>
      <c r="X18" s="42">
        <f>VLOOKUP("前"&amp;$B17&amp;Y$31,'２部北対戦表'!$S$1:$V$89,2,FALSE)</f>
        <v>3</v>
      </c>
      <c r="Y18" s="42" t="str">
        <f>IF(X18&lt;&gt;"",IF(X18&gt;Z18,"○",IF(X18&lt;Z18,"●","△")),"-")</f>
        <v>○</v>
      </c>
      <c r="Z18" s="42">
        <f>VLOOKUP("前"&amp;$B17&amp;Y$31,'２部北対戦表'!$S$1:$V$89,3,FALSE)</f>
        <v>1</v>
      </c>
      <c r="AA18" s="43" t="s">
        <v>85</v>
      </c>
      <c r="AB18" s="41" t="s">
        <v>84</v>
      </c>
      <c r="AC18" s="42">
        <f>VLOOKUP("前"&amp;$B17&amp;AD$31,'２部北対戦表'!$S$1:$V$89,2,FALSE)</f>
        <v>2</v>
      </c>
      <c r="AD18" s="42" t="str">
        <f>IF(AC18&lt;&gt;"",IF(AC18&gt;AE18,"○",IF(AC18&lt;AE18,"●","△")),"-")</f>
        <v>○</v>
      </c>
      <c r="AE18" s="42">
        <f>VLOOKUP("前"&amp;$B17&amp;AD$31,'２部北対戦表'!$S$1:$V$89,3,FALSE)</f>
        <v>1</v>
      </c>
      <c r="AF18" s="42" t="s">
        <v>85</v>
      </c>
      <c r="AG18" s="223"/>
      <c r="AH18" s="214"/>
      <c r="AI18" s="214"/>
      <c r="AJ18" s="375"/>
      <c r="AK18" s="261"/>
      <c r="AL18" s="261"/>
      <c r="AM18" s="258"/>
      <c r="AN18" s="227"/>
      <c r="AO18" s="104"/>
      <c r="AP18" s="392"/>
      <c r="AQ18" s="105"/>
      <c r="AR18" s="274" t="s">
        <v>133</v>
      </c>
      <c r="AS18" s="105"/>
      <c r="AT18" s="32">
        <f>COUNTIF($C17:$AF20,"○")</f>
        <v>2</v>
      </c>
      <c r="AU18" s="32">
        <f>COUNTIF($C17:$AF20,"△")</f>
        <v>0</v>
      </c>
      <c r="AV18" s="32">
        <f>COUNTIF($C17:$AF20,"●")</f>
        <v>3</v>
      </c>
      <c r="AW18" s="67">
        <f>AT18*3+AU18</f>
        <v>6</v>
      </c>
      <c r="AX18" s="30"/>
      <c r="AY18" s="30"/>
      <c r="BA18" s="63">
        <f>IF(F18&lt;&gt;"",F18,0)</f>
        <v>12</v>
      </c>
      <c r="BB18" s="63">
        <f>IF(K18&lt;&gt;"",K18,0)</f>
        <v>6</v>
      </c>
      <c r="BC18" s="63">
        <f>IF(P18&lt;&gt;"",P18,0)</f>
        <v>2</v>
      </c>
      <c r="BD18" s="63">
        <f>IF(U18&lt;&gt;"",U18,0)</f>
        <v>0</v>
      </c>
      <c r="BE18" s="63">
        <f>IF(Z18&lt;&gt;"",Z18,0)</f>
        <v>1</v>
      </c>
      <c r="BF18" s="63">
        <f>IF(AE18&lt;&gt;"",AE18,0)</f>
        <v>1</v>
      </c>
    </row>
    <row r="19" spans="2:58" ht="24" customHeight="1" thickBot="1">
      <c r="B19" s="346"/>
      <c r="C19" s="230">
        <f>VLOOKUP("後"&amp;$B17&amp;E$31,'２部北対戦表'!$S$1:$V$89,4,FALSE)</f>
        <v>40455</v>
      </c>
      <c r="D19" s="204"/>
      <c r="E19" s="204"/>
      <c r="F19" s="204"/>
      <c r="G19" s="205"/>
      <c r="H19" s="203">
        <f>VLOOKUP("後"&amp;$B17&amp;J$31,'２部北対戦表'!$S$1:$V$89,4,FALSE)</f>
        <v>40427</v>
      </c>
      <c r="I19" s="204"/>
      <c r="J19" s="204"/>
      <c r="K19" s="204"/>
      <c r="L19" s="205"/>
      <c r="M19" s="203">
        <f>VLOOKUP("後"&amp;$B17&amp;O$31,'２部北対戦表'!$S$1:$V$89,4,FALSE)</f>
        <v>40420</v>
      </c>
      <c r="N19" s="204"/>
      <c r="O19" s="204"/>
      <c r="P19" s="204"/>
      <c r="Q19" s="205"/>
      <c r="R19" s="351"/>
      <c r="S19" s="352"/>
      <c r="T19" s="352"/>
      <c r="U19" s="352"/>
      <c r="V19" s="353"/>
      <c r="W19" s="203">
        <f>VLOOKUP("後"&amp;$B17&amp;Y$31,'２部北対戦表'!$S$1:$V$89,4,FALSE)</f>
        <v>40463</v>
      </c>
      <c r="X19" s="204"/>
      <c r="Y19" s="204"/>
      <c r="Z19" s="204"/>
      <c r="AA19" s="205"/>
      <c r="AB19" s="246">
        <f>VLOOKUP("後"&amp;$B17&amp;AD$31,'２部北対戦表'!$S$1:$V$89,4,FALSE)</f>
        <v>40476</v>
      </c>
      <c r="AC19" s="247"/>
      <c r="AD19" s="247"/>
      <c r="AE19" s="247"/>
      <c r="AF19" s="247"/>
      <c r="AG19" s="223"/>
      <c r="AH19" s="214"/>
      <c r="AI19" s="214"/>
      <c r="AJ19" s="375"/>
      <c r="AK19" s="261"/>
      <c r="AL19" s="261"/>
      <c r="AM19" s="258"/>
      <c r="AN19" s="227"/>
      <c r="AO19" s="104"/>
      <c r="AP19" s="393"/>
      <c r="AQ19" s="105"/>
      <c r="AR19" s="275"/>
      <c r="AS19" s="105"/>
      <c r="AT19" s="75" t="s">
        <v>96</v>
      </c>
      <c r="AU19" s="75" t="s">
        <v>97</v>
      </c>
      <c r="AV19" s="75" t="s">
        <v>98</v>
      </c>
      <c r="AW19" s="31"/>
      <c r="AX19" s="31" t="s">
        <v>141</v>
      </c>
      <c r="AY19" s="65">
        <f>IF(AND(AT18=0,AU18=0,AV18=0),0,+AJ17*1000+AM17+IF(AR18=$AT$4,100,0)+IF(AR18=$AV$4,-100,0))</f>
        <v>5987</v>
      </c>
      <c r="BA19" s="63">
        <f>IF(D20&lt;&gt;"",D20,0)</f>
        <v>0</v>
      </c>
      <c r="BB19" s="63">
        <f>IF(I20&lt;&gt;"",I20,0)</f>
        <v>0</v>
      </c>
      <c r="BC19" s="63">
        <f>IF(N20&lt;&gt;"",N20,0)</f>
        <v>0</v>
      </c>
      <c r="BD19" s="63">
        <f>IF(S20&lt;&gt;"",S20,0)</f>
        <v>0</v>
      </c>
      <c r="BE19" s="63">
        <f>IF(X20&lt;&gt;"",X20,0)</f>
        <v>0</v>
      </c>
      <c r="BF19" s="63">
        <f>IF(AC20&lt;&gt;"",AC20,0)</f>
        <v>0</v>
      </c>
    </row>
    <row r="20" spans="2:58" ht="24" customHeight="1">
      <c r="B20" s="347"/>
      <c r="C20" s="38" t="s">
        <v>84</v>
      </c>
      <c r="D20" s="39">
        <f>VLOOKUP("後"&amp;$B17&amp;E$31,'２部北対戦表'!$S$1:$V$89,2,FALSE)</f>
      </c>
      <c r="E20" s="39">
        <f>IF(D20&lt;&gt;"",IF(D20&gt;F20,"○",IF(D20&lt;F20,"●","△")),"")</f>
      </c>
      <c r="F20" s="39">
        <f>VLOOKUP("後"&amp;$B17&amp;E$31,'２部北対戦表'!$S$1:$V$89,3,FALSE)</f>
      </c>
      <c r="G20" s="40" t="s">
        <v>85</v>
      </c>
      <c r="H20" s="38" t="s">
        <v>84</v>
      </c>
      <c r="I20" s="39">
        <f>VLOOKUP("後"&amp;$B17&amp;J$31,'２部北対戦表'!$S$1:$V$89,2,FALSE)</f>
      </c>
      <c r="J20" s="39">
        <f>IF(I20&lt;&gt;"",IF(I20&gt;K20,"○",IF(I20&lt;K20,"●","△")),"")</f>
      </c>
      <c r="K20" s="39">
        <f>VLOOKUP("後"&amp;$B17&amp;J$31,'２部北対戦表'!$S$1:$V$89,3,FALSE)</f>
      </c>
      <c r="L20" s="40" t="s">
        <v>85</v>
      </c>
      <c r="M20" s="38" t="s">
        <v>84</v>
      </c>
      <c r="N20" s="39">
        <f>VLOOKUP("後"&amp;$B17&amp;O$31,'２部北対戦表'!$S$1:$V$89,2,FALSE)</f>
      </c>
      <c r="O20" s="39">
        <f>IF(N20&lt;&gt;"",IF(N20&gt;P20,"○",IF(N20&lt;P20,"●","△")),"")</f>
      </c>
      <c r="P20" s="39">
        <f>VLOOKUP("後"&amp;$B17&amp;O$31,'２部北対戦表'!$S$1:$V$89,3,FALSE)</f>
      </c>
      <c r="Q20" s="40" t="s">
        <v>85</v>
      </c>
      <c r="R20" s="354"/>
      <c r="S20" s="355"/>
      <c r="T20" s="355"/>
      <c r="U20" s="355"/>
      <c r="V20" s="356"/>
      <c r="W20" s="38" t="s">
        <v>84</v>
      </c>
      <c r="X20" s="39">
        <f>VLOOKUP("後"&amp;$B17&amp;Y$31,'２部北対戦表'!$S$1:$V$89,2,FALSE)</f>
      </c>
      <c r="Y20" s="39">
        <f>IF(X20&lt;&gt;"",IF(X20&gt;Z20,"○",IF(X20&lt;Z20,"●","△")),"")</f>
      </c>
      <c r="Z20" s="39">
        <f>VLOOKUP("後"&amp;$B17&amp;Y$31,'２部北対戦表'!$S$1:$V$89,3,FALSE)</f>
      </c>
      <c r="AA20" s="40" t="s">
        <v>85</v>
      </c>
      <c r="AB20" s="38" t="s">
        <v>84</v>
      </c>
      <c r="AC20" s="39">
        <f>VLOOKUP("後"&amp;$B17&amp;AD$31,'２部北対戦表'!$S$1:$V$89,2,FALSE)</f>
      </c>
      <c r="AD20" s="39">
        <f>IF(AC20&lt;&gt;"",IF(AC20&gt;AE20,"○",IF(AC20&lt;AE20,"●","△")),"")</f>
      </c>
      <c r="AE20" s="39">
        <f>VLOOKUP("後"&amp;$B17&amp;AD$31,'２部北対戦表'!$S$1:$V$89,3,FALSE)</f>
      </c>
      <c r="AF20" s="39" t="s">
        <v>85</v>
      </c>
      <c r="AG20" s="224"/>
      <c r="AH20" s="225"/>
      <c r="AI20" s="225"/>
      <c r="AJ20" s="378"/>
      <c r="AK20" s="262"/>
      <c r="AL20" s="262"/>
      <c r="AM20" s="259"/>
      <c r="AN20" s="228"/>
      <c r="AO20" s="104"/>
      <c r="AP20" s="104"/>
      <c r="AQ20" s="104"/>
      <c r="AR20" s="104"/>
      <c r="AS20" s="104"/>
      <c r="AT20" s="75">
        <f>SUM(BA17:BF17)+SUM(BA19:BF19)</f>
        <v>9</v>
      </c>
      <c r="AU20" s="75">
        <f>SUM(BA18:BF18)+SUM(BA20:BF20)</f>
        <v>22</v>
      </c>
      <c r="AV20" s="57">
        <f>+AT20-AU20</f>
        <v>-13</v>
      </c>
      <c r="AW20" s="31"/>
      <c r="AX20" s="31"/>
      <c r="AY20" s="31"/>
      <c r="BA20" s="64">
        <f>IF(F20&lt;&gt;"",F20,0)</f>
        <v>0</v>
      </c>
      <c r="BB20" s="64">
        <f>IF(K20&lt;&gt;"",K20,0)</f>
        <v>0</v>
      </c>
      <c r="BC20" s="64">
        <f>IF(P20&lt;&gt;"",P20,0)</f>
        <v>0</v>
      </c>
      <c r="BD20" s="64">
        <f>IF(U20&lt;&gt;"",U20,0)</f>
        <v>0</v>
      </c>
      <c r="BE20" s="64">
        <f>IF(Z20&lt;&gt;"",Z20,0)</f>
        <v>0</v>
      </c>
      <c r="BF20" s="64">
        <f>IF(AE20&lt;&gt;"",AE20,0)</f>
        <v>0</v>
      </c>
    </row>
    <row r="21" spans="2:58" ht="24" customHeight="1" thickBot="1">
      <c r="B21" s="109" t="str">
        <f>+AN59</f>
        <v>北Ｅ</v>
      </c>
      <c r="C21" s="200">
        <f>VLOOKUP("前"&amp;$B21&amp;E$31,'２部北対戦表'!$S$1:$V$89,4,FALSE)</f>
        <v>40336</v>
      </c>
      <c r="D21" s="201"/>
      <c r="E21" s="201"/>
      <c r="F21" s="201"/>
      <c r="G21" s="202"/>
      <c r="H21" s="200">
        <f>VLOOKUP("前"&amp;$B21&amp;J$31,'２部北対戦表'!$S$1:$V$89,4,FALSE)</f>
        <v>40371</v>
      </c>
      <c r="I21" s="201"/>
      <c r="J21" s="201"/>
      <c r="K21" s="201"/>
      <c r="L21" s="202"/>
      <c r="M21" s="200">
        <f>VLOOKUP("前"&amp;$B21&amp;O$31,'２部北対戦表'!$S$1:$V$89,4,FALSE)</f>
        <v>40315</v>
      </c>
      <c r="N21" s="201"/>
      <c r="O21" s="201"/>
      <c r="P21" s="201"/>
      <c r="Q21" s="202"/>
      <c r="R21" s="200">
        <f>VLOOKUP("前"&amp;$B21&amp;T$31,'２部北対戦表'!$S$1:$V$89,4,FALSE)</f>
        <v>40357</v>
      </c>
      <c r="S21" s="201"/>
      <c r="T21" s="201"/>
      <c r="U21" s="201"/>
      <c r="V21" s="202"/>
      <c r="W21" s="348"/>
      <c r="X21" s="349"/>
      <c r="Y21" s="349"/>
      <c r="Z21" s="349"/>
      <c r="AA21" s="350"/>
      <c r="AB21" s="200">
        <f>VLOOKUP("前"&amp;$B21&amp;AD$31,'２部北対戦表'!$S$1:$V$89,4,FALSE)</f>
        <v>40343</v>
      </c>
      <c r="AC21" s="201"/>
      <c r="AD21" s="201"/>
      <c r="AE21" s="201"/>
      <c r="AF21" s="201"/>
      <c r="AG21" s="374">
        <f>IF(AND($AT22=0,$AU22=0,$AV22=0),"",AT22)</f>
        <v>1</v>
      </c>
      <c r="AH21" s="373">
        <f>IF(AND($AT22=0,$AU22=0,$AV22=0),"",AU22)</f>
        <v>0</v>
      </c>
      <c r="AI21" s="373">
        <f>IF(AND($AT22=0,$AU22=0,$AV22=0),"",AV22)</f>
        <v>4</v>
      </c>
      <c r="AJ21" s="377">
        <f>IF(AND($AT22=0,$AU22=0,$AV22=0),"",AW22+AP22)</f>
        <v>3</v>
      </c>
      <c r="AK21" s="212">
        <f>IF(AND($AT22=0,$AU22=0,$AV22=0),"",AT24)</f>
        <v>12</v>
      </c>
      <c r="AL21" s="212">
        <f>IF(AND($AT22=0,$AU22=0,$AV22=0),"",AU24)</f>
        <v>31</v>
      </c>
      <c r="AM21" s="213">
        <f>IF(AND($AT22=0,$AU22=0,$AV22=0),"",AV24)</f>
        <v>-19</v>
      </c>
      <c r="AN21" s="226">
        <f>IF(AND($AT22=0,$AU22=0,$AV22=0),"",RANK(AY23,AY$7:AY$27))</f>
        <v>5</v>
      </c>
      <c r="AT21" s="67" t="s">
        <v>92</v>
      </c>
      <c r="AU21" s="67" t="s">
        <v>93</v>
      </c>
      <c r="AV21" s="67" t="s">
        <v>94</v>
      </c>
      <c r="AW21" s="67" t="s">
        <v>95</v>
      </c>
      <c r="AX21" s="30"/>
      <c r="AY21" s="30"/>
      <c r="BA21" s="62">
        <f>IF(D22&lt;&gt;"",D22,0)</f>
        <v>2</v>
      </c>
      <c r="BB21" s="62">
        <f>IF(I22&lt;&gt;"",I22,0)</f>
        <v>4</v>
      </c>
      <c r="BC21" s="62">
        <f>IF(N22&lt;&gt;"",N22,0)</f>
        <v>1</v>
      </c>
      <c r="BD21" s="62">
        <f>IF(S22&lt;&gt;"",S22,0)</f>
        <v>1</v>
      </c>
      <c r="BE21" s="62">
        <f>IF(X22&lt;&gt;"",X22,0)</f>
        <v>0</v>
      </c>
      <c r="BF21" s="62">
        <f>IF(AC22&lt;&gt;"",AC22,0)</f>
        <v>4</v>
      </c>
    </row>
    <row r="22" spans="2:58" ht="24" customHeight="1">
      <c r="B22" s="346" t="str">
        <f>VLOOKUP(B21,'参加チーム'!$B$5:$G$73,IF($AG$3=1,4,5),FALSE)</f>
        <v>Rion</v>
      </c>
      <c r="C22" s="41" t="s">
        <v>84</v>
      </c>
      <c r="D22" s="42">
        <f>VLOOKUP("前"&amp;$B21&amp;E$31,'２部北対戦表'!$S$1:$V$89,2,FALSE)</f>
        <v>2</v>
      </c>
      <c r="E22" s="42" t="str">
        <f>IF(D22&lt;&gt;"",IF(D22&gt;F22,"○",IF(D22&lt;F22,"●","△")),"-")</f>
        <v>●</v>
      </c>
      <c r="F22" s="42">
        <f>VLOOKUP("前"&amp;$B21&amp;E$31,'２部北対戦表'!$S$1:$V$89,3,FALSE)</f>
        <v>14</v>
      </c>
      <c r="G22" s="43" t="s">
        <v>85</v>
      </c>
      <c r="H22" s="41" t="s">
        <v>84</v>
      </c>
      <c r="I22" s="42">
        <f>VLOOKUP("前"&amp;$B21&amp;J$31,'２部北対戦表'!$S$1:$V$89,2,FALSE)</f>
        <v>4</v>
      </c>
      <c r="J22" s="42" t="str">
        <f>IF(I22&lt;&gt;"",IF(I22&gt;K22,"○",IF(I22&lt;K22,"●","△")),"-")</f>
        <v>●</v>
      </c>
      <c r="K22" s="42">
        <f>VLOOKUP("前"&amp;$B21&amp;J$31,'２部北対戦表'!$S$1:$V$89,3,FALSE)</f>
        <v>8</v>
      </c>
      <c r="L22" s="43" t="s">
        <v>85</v>
      </c>
      <c r="M22" s="41" t="s">
        <v>84</v>
      </c>
      <c r="N22" s="42">
        <f>VLOOKUP("前"&amp;$B21&amp;O$31,'２部北対戦表'!$S$1:$V$89,2,FALSE)</f>
        <v>1</v>
      </c>
      <c r="O22" s="42" t="str">
        <f>IF(N22&lt;&gt;"",IF(N22&gt;P22,"○",IF(N22&lt;P22,"●","△")),"-")</f>
        <v>●</v>
      </c>
      <c r="P22" s="42">
        <f>VLOOKUP("前"&amp;$B21&amp;O$31,'２部北対戦表'!$S$1:$V$89,3,FALSE)</f>
        <v>3</v>
      </c>
      <c r="Q22" s="43" t="s">
        <v>85</v>
      </c>
      <c r="R22" s="41" t="s">
        <v>84</v>
      </c>
      <c r="S22" s="42">
        <f>VLOOKUP("前"&amp;$B21&amp;T$31,'２部北対戦表'!$S$1:$V$89,2,FALSE)</f>
        <v>1</v>
      </c>
      <c r="T22" s="42" t="str">
        <f>IF(S22&lt;&gt;"",IF(S22&gt;U22,"○",IF(S22&lt;U22,"●","△")),"-")</f>
        <v>●</v>
      </c>
      <c r="U22" s="42">
        <f>VLOOKUP("前"&amp;$B21&amp;T$31,'２部北対戦表'!$S$1:$V$89,3,FALSE)</f>
        <v>3</v>
      </c>
      <c r="V22" s="43" t="s">
        <v>85</v>
      </c>
      <c r="W22" s="351"/>
      <c r="X22" s="352"/>
      <c r="Y22" s="352"/>
      <c r="Z22" s="352"/>
      <c r="AA22" s="353"/>
      <c r="AB22" s="41" t="s">
        <v>84</v>
      </c>
      <c r="AC22" s="42">
        <f>VLOOKUP("前"&amp;$B21&amp;AD$31,'２部北対戦表'!$S$1:$V$89,2,FALSE)</f>
        <v>4</v>
      </c>
      <c r="AD22" s="42" t="str">
        <f>IF(AC22&lt;&gt;"",IF(AC22&gt;AE22,"○",IF(AC22&lt;AE22,"●","△")),"-")</f>
        <v>○</v>
      </c>
      <c r="AE22" s="42">
        <f>VLOOKUP("前"&amp;$B21&amp;AD$31,'２部北対戦表'!$S$1:$V$89,3,FALSE)</f>
        <v>3</v>
      </c>
      <c r="AF22" s="42" t="s">
        <v>85</v>
      </c>
      <c r="AG22" s="223"/>
      <c r="AH22" s="214"/>
      <c r="AI22" s="214"/>
      <c r="AJ22" s="375"/>
      <c r="AK22" s="212"/>
      <c r="AL22" s="212"/>
      <c r="AM22" s="213"/>
      <c r="AN22" s="227"/>
      <c r="AP22" s="263"/>
      <c r="AQ22" s="61"/>
      <c r="AR22" s="274" t="s">
        <v>133</v>
      </c>
      <c r="AS22" s="61"/>
      <c r="AT22" s="32">
        <f>COUNTIF($C21:$AF24,"○")</f>
        <v>1</v>
      </c>
      <c r="AU22" s="32">
        <f>COUNTIF($C21:$AF24,"△")</f>
        <v>0</v>
      </c>
      <c r="AV22" s="32">
        <f>COUNTIF($C21:$AF24,"●")</f>
        <v>4</v>
      </c>
      <c r="AW22" s="67">
        <f>AT22*3+AU22</f>
        <v>3</v>
      </c>
      <c r="AX22" s="30"/>
      <c r="AY22" s="30"/>
      <c r="BA22" s="63">
        <f>IF(F22&lt;&gt;"",F22,0)</f>
        <v>14</v>
      </c>
      <c r="BB22" s="63">
        <f>IF(K22&lt;&gt;"",K22,0)</f>
        <v>8</v>
      </c>
      <c r="BC22" s="63">
        <f>IF(P22&lt;&gt;"",P22,0)</f>
        <v>3</v>
      </c>
      <c r="BD22" s="63">
        <f>IF(U22&lt;&gt;"",U22,0)</f>
        <v>3</v>
      </c>
      <c r="BE22" s="63">
        <f>IF(Z22&lt;&gt;"",Z22,0)</f>
        <v>0</v>
      </c>
      <c r="BF22" s="63">
        <f>IF(AE22&lt;&gt;"",AE22,0)</f>
        <v>3</v>
      </c>
    </row>
    <row r="23" spans="2:58" ht="24" customHeight="1" thickBot="1">
      <c r="B23" s="346"/>
      <c r="C23" s="203">
        <f>VLOOKUP("後"&amp;$B21&amp;E$31,'２部北対戦表'!$S$1:$V$89,4,FALSE)</f>
        <v>40427</v>
      </c>
      <c r="D23" s="204"/>
      <c r="E23" s="204"/>
      <c r="F23" s="204"/>
      <c r="G23" s="205"/>
      <c r="H23" s="203">
        <f>VLOOKUP("後"&amp;$B21&amp;J$31,'２部北対戦表'!$S$1:$V$89,4,FALSE)</f>
        <v>40420</v>
      </c>
      <c r="I23" s="204"/>
      <c r="J23" s="204"/>
      <c r="K23" s="204"/>
      <c r="L23" s="205"/>
      <c r="M23" s="203">
        <f>VLOOKUP("後"&amp;$B21&amp;O$31,'２部北対戦表'!$S$1:$V$89,4,FALSE)</f>
        <v>40476</v>
      </c>
      <c r="N23" s="204"/>
      <c r="O23" s="204"/>
      <c r="P23" s="204"/>
      <c r="Q23" s="205"/>
      <c r="R23" s="203">
        <f>VLOOKUP("後"&amp;$B21&amp;T$31,'２部北対戦表'!$S$1:$V$89,4,FALSE)</f>
        <v>40463</v>
      </c>
      <c r="S23" s="204"/>
      <c r="T23" s="204"/>
      <c r="U23" s="204"/>
      <c r="V23" s="205"/>
      <c r="W23" s="351"/>
      <c r="X23" s="352"/>
      <c r="Y23" s="352"/>
      <c r="Z23" s="352"/>
      <c r="AA23" s="353"/>
      <c r="AB23" s="246">
        <f>VLOOKUP("後"&amp;$B21&amp;AD$31,'２部北対戦表'!$S$1:$V$89,4,FALSE)</f>
        <v>40455</v>
      </c>
      <c r="AC23" s="247"/>
      <c r="AD23" s="247"/>
      <c r="AE23" s="247"/>
      <c r="AF23" s="247"/>
      <c r="AG23" s="223"/>
      <c r="AH23" s="214"/>
      <c r="AI23" s="214"/>
      <c r="AJ23" s="375"/>
      <c r="AK23" s="212"/>
      <c r="AL23" s="212"/>
      <c r="AM23" s="213"/>
      <c r="AN23" s="227"/>
      <c r="AP23" s="264"/>
      <c r="AQ23" s="61"/>
      <c r="AR23" s="275"/>
      <c r="AS23" s="61"/>
      <c r="AT23" s="75" t="s">
        <v>96</v>
      </c>
      <c r="AU23" s="75" t="s">
        <v>97</v>
      </c>
      <c r="AV23" s="75" t="s">
        <v>98</v>
      </c>
      <c r="AW23" s="31"/>
      <c r="AX23" s="31" t="s">
        <v>141</v>
      </c>
      <c r="AY23" s="65">
        <f>IF(AND(AT22=0,AU22=0,AV22=0),0,+AJ21*1000+AM21+IF(AR22=$AT$4,100,0)+IF(AR22=$AV$4,-100,0))</f>
        <v>2981</v>
      </c>
      <c r="BA23" s="63">
        <f>IF(D24&lt;&gt;"",D24,0)</f>
        <v>0</v>
      </c>
      <c r="BB23" s="63">
        <f>IF(I24&lt;&gt;"",I24,0)</f>
        <v>0</v>
      </c>
      <c r="BC23" s="63">
        <f>IF(N24&lt;&gt;"",N24,0)</f>
        <v>0</v>
      </c>
      <c r="BD23" s="63">
        <f>IF(S24&lt;&gt;"",S24,0)</f>
        <v>0</v>
      </c>
      <c r="BE23" s="63">
        <f>IF(X24&lt;&gt;"",X24,0)</f>
        <v>0</v>
      </c>
      <c r="BF23" s="63">
        <f>IF(AC24&lt;&gt;"",AC24,0)</f>
        <v>0</v>
      </c>
    </row>
    <row r="24" spans="2:58" ht="24" customHeight="1">
      <c r="B24" s="347"/>
      <c r="C24" s="38" t="s">
        <v>84</v>
      </c>
      <c r="D24" s="39">
        <f>VLOOKUP("後"&amp;$B21&amp;E$31,'２部北対戦表'!$S$1:$V$89,2,FALSE)</f>
      </c>
      <c r="E24" s="39">
        <f>IF(D24&lt;&gt;"",IF(D24&gt;F24,"○",IF(D24&lt;F24,"●","△")),"")</f>
      </c>
      <c r="F24" s="39">
        <f>VLOOKUP("後"&amp;$B21&amp;E$31,'２部北対戦表'!$S$1:$V$89,3,FALSE)</f>
      </c>
      <c r="G24" s="40" t="s">
        <v>85</v>
      </c>
      <c r="H24" s="38" t="s">
        <v>84</v>
      </c>
      <c r="I24" s="39">
        <f>VLOOKUP("後"&amp;$B21&amp;J$31,'２部北対戦表'!$S$1:$V$89,2,FALSE)</f>
      </c>
      <c r="J24" s="39">
        <f>IF(I24&lt;&gt;"",IF(I24&gt;K24,"○",IF(I24&lt;K24,"●","△")),"")</f>
      </c>
      <c r="K24" s="39">
        <f>VLOOKUP("後"&amp;$B21&amp;J$31,'２部北対戦表'!$S$1:$V$89,3,FALSE)</f>
      </c>
      <c r="L24" s="40" t="s">
        <v>85</v>
      </c>
      <c r="M24" s="38" t="s">
        <v>84</v>
      </c>
      <c r="N24" s="39">
        <f>VLOOKUP("後"&amp;$B21&amp;O$31,'２部北対戦表'!$S$1:$V$89,2,FALSE)</f>
      </c>
      <c r="O24" s="39">
        <f>IF(N24&lt;&gt;"",IF(N24&gt;P24,"○",IF(N24&lt;P24,"●","△")),"")</f>
      </c>
      <c r="P24" s="39">
        <f>VLOOKUP("後"&amp;$B21&amp;O$31,'２部北対戦表'!$S$1:$V$89,3,FALSE)</f>
      </c>
      <c r="Q24" s="40" t="s">
        <v>85</v>
      </c>
      <c r="R24" s="38" t="s">
        <v>84</v>
      </c>
      <c r="S24" s="39">
        <f>VLOOKUP("後"&amp;$B21&amp;T$31,'２部北対戦表'!$S$1:$V$89,2,FALSE)</f>
      </c>
      <c r="T24" s="39">
        <f>IF(S24&lt;&gt;"",IF(S24&gt;U24,"○",IF(S24&lt;U24,"●","△")),"")</f>
      </c>
      <c r="U24" s="39">
        <f>VLOOKUP("後"&amp;$B21&amp;T$31,'２部北対戦表'!$S$1:$V$89,3,FALSE)</f>
      </c>
      <c r="V24" s="40" t="s">
        <v>85</v>
      </c>
      <c r="W24" s="354"/>
      <c r="X24" s="355"/>
      <c r="Y24" s="355"/>
      <c r="Z24" s="355"/>
      <c r="AA24" s="356"/>
      <c r="AB24" s="38" t="s">
        <v>84</v>
      </c>
      <c r="AC24" s="39">
        <f>VLOOKUP("後"&amp;$B21&amp;AD$31,'２部北対戦表'!$S$1:$V$89,2,FALSE)</f>
      </c>
      <c r="AD24" s="39">
        <f>IF(AC24&lt;&gt;"",IF(AC24&gt;AE24,"○",IF(AC24&lt;AE24,"●","△")),"")</f>
      </c>
      <c r="AE24" s="39">
        <f>VLOOKUP("後"&amp;$B21&amp;AD$31,'２部北対戦表'!$S$1:$V$89,3,FALSE)</f>
      </c>
      <c r="AF24" s="39" t="s">
        <v>85</v>
      </c>
      <c r="AG24" s="224"/>
      <c r="AH24" s="225"/>
      <c r="AI24" s="225"/>
      <c r="AJ24" s="378"/>
      <c r="AK24" s="212"/>
      <c r="AL24" s="212"/>
      <c r="AM24" s="213"/>
      <c r="AN24" s="228"/>
      <c r="AT24" s="75">
        <f>SUM(BA21:BF21)+SUM(BA23:BF23)</f>
        <v>12</v>
      </c>
      <c r="AU24" s="75">
        <f>SUM(BA22:BF22)+SUM(BA24:BF24)</f>
        <v>31</v>
      </c>
      <c r="AV24" s="57">
        <f>+AT24-AU24</f>
        <v>-19</v>
      </c>
      <c r="AW24" s="31"/>
      <c r="AX24" s="31"/>
      <c r="AY24" s="31"/>
      <c r="BA24" s="64">
        <f>IF(F24&lt;&gt;"",F24,0)</f>
        <v>0</v>
      </c>
      <c r="BB24" s="64">
        <f>IF(K24&lt;&gt;"",K24,0)</f>
        <v>0</v>
      </c>
      <c r="BC24" s="64">
        <f>IF(P24&lt;&gt;"",P24,0)</f>
        <v>0</v>
      </c>
      <c r="BD24" s="64">
        <f>IF(U24&lt;&gt;"",U24,0)</f>
        <v>0</v>
      </c>
      <c r="BE24" s="64">
        <f>IF(Z24&lt;&gt;"",Z24,0)</f>
        <v>0</v>
      </c>
      <c r="BF24" s="64">
        <f>IF(AE24&lt;&gt;"",AE24,0)</f>
        <v>0</v>
      </c>
    </row>
    <row r="25" spans="2:58" ht="24" customHeight="1" thickBot="1">
      <c r="B25" s="2" t="str">
        <f>+AN60</f>
        <v>北Ｆ</v>
      </c>
      <c r="C25" s="370">
        <f>VLOOKUP("前"&amp;$B25&amp;E$31,'２部北対戦表'!$S$1:$V$89,4,FALSE)</f>
        <v>40315</v>
      </c>
      <c r="D25" s="371"/>
      <c r="E25" s="371"/>
      <c r="F25" s="371"/>
      <c r="G25" s="372"/>
      <c r="H25" s="370">
        <f>VLOOKUP("前"&amp;$B25&amp;J$31,'２部北対戦表'!$S$1:$V$89,4,FALSE)</f>
        <v>40336</v>
      </c>
      <c r="I25" s="371"/>
      <c r="J25" s="371"/>
      <c r="K25" s="371"/>
      <c r="L25" s="372"/>
      <c r="M25" s="370">
        <f>VLOOKUP("前"&amp;$B25&amp;O$31,'２部北対戦表'!$S$1:$V$89,4,FALSE)</f>
        <v>40357</v>
      </c>
      <c r="N25" s="371"/>
      <c r="O25" s="371"/>
      <c r="P25" s="371"/>
      <c r="Q25" s="372"/>
      <c r="R25" s="370">
        <f>VLOOKUP("前"&amp;$B25&amp;T$31,'２部北対戦表'!$S$1:$V$89,4,FALSE)</f>
        <v>40371</v>
      </c>
      <c r="S25" s="371"/>
      <c r="T25" s="371"/>
      <c r="U25" s="371"/>
      <c r="V25" s="372"/>
      <c r="W25" s="370">
        <f>VLOOKUP("前"&amp;$B25&amp;Y$31,'２部北対戦表'!$S$1:$V$89,4,FALSE)</f>
        <v>40343</v>
      </c>
      <c r="X25" s="371"/>
      <c r="Y25" s="371"/>
      <c r="Z25" s="371"/>
      <c r="AA25" s="372"/>
      <c r="AB25" s="236"/>
      <c r="AC25" s="237"/>
      <c r="AD25" s="237"/>
      <c r="AE25" s="237"/>
      <c r="AF25" s="267"/>
      <c r="AG25" s="223">
        <f>IF(AND($AT26=0,$AU26=0,$AV26=0),"",AT26)</f>
        <v>0</v>
      </c>
      <c r="AH25" s="214">
        <f>IF(AND($AT26=0,$AU26=0,$AV26=0),"",AU26)</f>
        <v>0</v>
      </c>
      <c r="AI25" s="214">
        <f>IF(AND($AT26=0,$AU26=0,$AV26=0),"",AV26)</f>
        <v>5</v>
      </c>
      <c r="AJ25" s="375">
        <f>IF(AND($AT26=0,$AU26=0,$AV26=0),"",AW26+AP26)</f>
        <v>0</v>
      </c>
      <c r="AK25" s="262">
        <f>IF(AND($AT26=0,$AU26=0,$AV26=0),"",AT28)</f>
        <v>10</v>
      </c>
      <c r="AL25" s="262">
        <f>IF(AND($AT26=0,$AU26=0,$AV26=0),"",AU28)</f>
        <v>26</v>
      </c>
      <c r="AM25" s="259">
        <f>IF(AND($AT26=0,$AU26=0,$AV26=0),"",AV28)</f>
        <v>-16</v>
      </c>
      <c r="AN25" s="227">
        <f>IF(AND($AT26=0,$AU26=0,$AV26=0),"",RANK(AY27,AY$7:AY$27))</f>
        <v>6</v>
      </c>
      <c r="AT25" s="67" t="s">
        <v>92</v>
      </c>
      <c r="AU25" s="67" t="s">
        <v>93</v>
      </c>
      <c r="AV25" s="67" t="s">
        <v>94</v>
      </c>
      <c r="AW25" s="67" t="s">
        <v>95</v>
      </c>
      <c r="AX25" s="30"/>
      <c r="AY25" s="30"/>
      <c r="BA25" s="62">
        <f>IF(D26&lt;&gt;"",D26,0)</f>
        <v>3</v>
      </c>
      <c r="BB25" s="62">
        <f>IF(I26&lt;&gt;"",I26,0)</f>
        <v>2</v>
      </c>
      <c r="BC25" s="62">
        <f>IF(N26&lt;&gt;"",N26,0)</f>
        <v>1</v>
      </c>
      <c r="BD25" s="62">
        <f>IF(S26&lt;&gt;"",S26,0)</f>
        <v>1</v>
      </c>
      <c r="BE25" s="62">
        <f>IF(X26&lt;&gt;"",X26,0)</f>
        <v>3</v>
      </c>
      <c r="BF25" s="62">
        <f>IF(AC26&lt;&gt;"",AC26,0)</f>
        <v>0</v>
      </c>
    </row>
    <row r="26" spans="2:58" ht="24" customHeight="1">
      <c r="B26" s="357" t="str">
        <f>VLOOKUP(B25,'参加チーム'!$B$5:$G$73,IF($AG$3=1,4,5),FALSE)</f>
        <v>PIETRA</v>
      </c>
      <c r="C26" s="41" t="s">
        <v>84</v>
      </c>
      <c r="D26" s="42">
        <f>VLOOKUP("前"&amp;$B25&amp;E$31,'２部北対戦表'!$S$1:$V$89,2,FALSE)</f>
        <v>3</v>
      </c>
      <c r="E26" s="42" t="str">
        <f>IF(D26&lt;&gt;"",IF(D26&gt;F26,"○",IF(D26&lt;F26,"●","△")),"-")</f>
        <v>●</v>
      </c>
      <c r="F26" s="42">
        <f>VLOOKUP("前"&amp;$B25&amp;E$31,'２部北対戦表'!$S$1:$V$89,3,FALSE)</f>
        <v>10</v>
      </c>
      <c r="G26" s="43" t="s">
        <v>85</v>
      </c>
      <c r="H26" s="41" t="s">
        <v>84</v>
      </c>
      <c r="I26" s="42">
        <f>VLOOKUP("前"&amp;$B25&amp;J$31,'２部北対戦表'!$S$1:$V$89,2,FALSE)</f>
        <v>2</v>
      </c>
      <c r="J26" s="42" t="str">
        <f>IF(I26&lt;&gt;"",IF(I26&gt;K26,"○",IF(I26&lt;K26,"●","△")),"-")</f>
        <v>●</v>
      </c>
      <c r="K26" s="42">
        <f>VLOOKUP("前"&amp;$B25&amp;J$31,'２部北対戦表'!$S$1:$V$89,3,FALSE)</f>
        <v>7</v>
      </c>
      <c r="L26" s="43" t="s">
        <v>85</v>
      </c>
      <c r="M26" s="41" t="s">
        <v>84</v>
      </c>
      <c r="N26" s="42">
        <f>VLOOKUP("前"&amp;$B25&amp;O$31,'２部北対戦表'!$S$1:$V$89,2,FALSE)</f>
        <v>1</v>
      </c>
      <c r="O26" s="42" t="str">
        <f>IF(N26&lt;&gt;"",IF(N26&gt;P26,"○",IF(N26&lt;P26,"●","△")),"-")</f>
        <v>●</v>
      </c>
      <c r="P26" s="42">
        <f>VLOOKUP("前"&amp;$B25&amp;O$31,'２部北対戦表'!$S$1:$V$89,3,FALSE)</f>
        <v>3</v>
      </c>
      <c r="Q26" s="43" t="s">
        <v>85</v>
      </c>
      <c r="R26" s="41" t="s">
        <v>84</v>
      </c>
      <c r="S26" s="42">
        <f>VLOOKUP("前"&amp;$B25&amp;T$31,'２部北対戦表'!$S$1:$V$89,2,FALSE)</f>
        <v>1</v>
      </c>
      <c r="T26" s="42" t="str">
        <f>IF(S26&lt;&gt;"",IF(S26&gt;U26,"○",IF(S26&lt;U26,"●","△")),"-")</f>
        <v>●</v>
      </c>
      <c r="U26" s="42">
        <f>VLOOKUP("前"&amp;$B25&amp;T$31,'２部北対戦表'!$S$1:$V$89,3,FALSE)</f>
        <v>2</v>
      </c>
      <c r="V26" s="43" t="s">
        <v>85</v>
      </c>
      <c r="W26" s="41" t="s">
        <v>84</v>
      </c>
      <c r="X26" s="42">
        <f>VLOOKUP("前"&amp;$B25&amp;Y$31,'２部北対戦表'!$S$1:$V$89,2,FALSE)</f>
        <v>3</v>
      </c>
      <c r="Y26" s="42" t="str">
        <f>IF(X26&lt;&gt;"",IF(X26&gt;Z26,"○",IF(X26&lt;Z26,"●","△")),"-")</f>
        <v>●</v>
      </c>
      <c r="Z26" s="42">
        <f>VLOOKUP("前"&amp;$B25&amp;Y$31,'２部北対戦表'!$S$1:$V$89,3,FALSE)</f>
        <v>4</v>
      </c>
      <c r="AA26" s="43" t="s">
        <v>85</v>
      </c>
      <c r="AB26" s="236"/>
      <c r="AC26" s="237"/>
      <c r="AD26" s="237"/>
      <c r="AE26" s="237"/>
      <c r="AF26" s="267"/>
      <c r="AG26" s="223"/>
      <c r="AH26" s="214"/>
      <c r="AI26" s="214"/>
      <c r="AJ26" s="375"/>
      <c r="AK26" s="212"/>
      <c r="AL26" s="212"/>
      <c r="AM26" s="213"/>
      <c r="AN26" s="227"/>
      <c r="AP26" s="263"/>
      <c r="AQ26" s="61"/>
      <c r="AR26" s="274" t="s">
        <v>133</v>
      </c>
      <c r="AS26" s="61"/>
      <c r="AT26" s="32">
        <f>COUNTIF($C25:$AF28,"○")</f>
        <v>0</v>
      </c>
      <c r="AU26" s="32">
        <f>COUNTIF($C25:$AF28,"△")</f>
        <v>0</v>
      </c>
      <c r="AV26" s="32">
        <f>COUNTIF($C25:$AF28,"●")</f>
        <v>5</v>
      </c>
      <c r="AW26" s="67">
        <f>AT26*3+AU26</f>
        <v>0</v>
      </c>
      <c r="AX26" s="30"/>
      <c r="AY26" s="30"/>
      <c r="BA26" s="63">
        <f>IF(F26&lt;&gt;"",F26,0)</f>
        <v>10</v>
      </c>
      <c r="BB26" s="63">
        <f>IF(K26&lt;&gt;"",K26,0)</f>
        <v>7</v>
      </c>
      <c r="BC26" s="63">
        <f>IF(P26&lt;&gt;"",P26,0)</f>
        <v>3</v>
      </c>
      <c r="BD26" s="63">
        <f>IF(U26&lt;&gt;"",U26,0)</f>
        <v>2</v>
      </c>
      <c r="BE26" s="63">
        <f>IF(Z26&lt;&gt;"",Z26,0)</f>
        <v>4</v>
      </c>
      <c r="BF26" s="63">
        <f>IF(AE26&lt;&gt;"",AE26,0)</f>
        <v>0</v>
      </c>
    </row>
    <row r="27" spans="2:58" ht="24" customHeight="1" thickBot="1">
      <c r="B27" s="357"/>
      <c r="C27" s="203">
        <f>VLOOKUP("後"&amp;$B25&amp;E$31,'２部北対戦表'!$S$1:$V$89,4,FALSE)</f>
        <v>40420</v>
      </c>
      <c r="D27" s="204"/>
      <c r="E27" s="204"/>
      <c r="F27" s="204"/>
      <c r="G27" s="205"/>
      <c r="H27" s="203">
        <f>VLOOKUP("後"&amp;$B25&amp;J$31,'２部北対戦表'!$S$1:$V$89,4,FALSE)</f>
        <v>40463</v>
      </c>
      <c r="I27" s="204"/>
      <c r="J27" s="204"/>
      <c r="K27" s="204"/>
      <c r="L27" s="205"/>
      <c r="M27" s="203">
        <f>VLOOKUP("後"&amp;$B25&amp;O$31,'２部北対戦表'!$S$1:$V$89,4,FALSE)</f>
        <v>40427</v>
      </c>
      <c r="N27" s="204"/>
      <c r="O27" s="204"/>
      <c r="P27" s="204"/>
      <c r="Q27" s="205"/>
      <c r="R27" s="203">
        <f>VLOOKUP("後"&amp;$B25&amp;T$31,'２部北対戦表'!$S$1:$V$89,4,FALSE)</f>
        <v>40476</v>
      </c>
      <c r="S27" s="204"/>
      <c r="T27" s="204"/>
      <c r="U27" s="204"/>
      <c r="V27" s="205"/>
      <c r="W27" s="203">
        <f>VLOOKUP("後"&amp;$B25&amp;Y$31,'２部北対戦表'!$S$1:$V$89,4,FALSE)</f>
        <v>40455</v>
      </c>
      <c r="X27" s="204"/>
      <c r="Y27" s="204"/>
      <c r="Z27" s="204"/>
      <c r="AA27" s="205"/>
      <c r="AB27" s="236"/>
      <c r="AC27" s="237"/>
      <c r="AD27" s="237"/>
      <c r="AE27" s="237"/>
      <c r="AF27" s="267"/>
      <c r="AG27" s="223"/>
      <c r="AH27" s="214"/>
      <c r="AI27" s="214"/>
      <c r="AJ27" s="375"/>
      <c r="AK27" s="212"/>
      <c r="AL27" s="212"/>
      <c r="AM27" s="213"/>
      <c r="AN27" s="227"/>
      <c r="AP27" s="264"/>
      <c r="AQ27" s="61"/>
      <c r="AR27" s="275"/>
      <c r="AS27" s="61"/>
      <c r="AT27" s="75" t="s">
        <v>96</v>
      </c>
      <c r="AU27" s="75" t="s">
        <v>97</v>
      </c>
      <c r="AV27" s="75" t="s">
        <v>98</v>
      </c>
      <c r="AW27" s="31"/>
      <c r="AX27" s="31" t="s">
        <v>141</v>
      </c>
      <c r="AY27" s="110">
        <v>-1000</v>
      </c>
      <c r="BA27" s="63">
        <f>IF(D28&lt;&gt;"",D28,0)</f>
        <v>0</v>
      </c>
      <c r="BB27" s="63">
        <f>IF(I28&lt;&gt;"",I28,0)</f>
        <v>0</v>
      </c>
      <c r="BC27" s="63">
        <f>IF(N28&lt;&gt;"",N28,0)</f>
        <v>0</v>
      </c>
      <c r="BD27" s="63">
        <f>IF(S28&lt;&gt;"",S28,0)</f>
        <v>0</v>
      </c>
      <c r="BE27" s="63">
        <f>IF(X28&lt;&gt;"",X28,0)</f>
        <v>0</v>
      </c>
      <c r="BF27" s="63">
        <f>IF(AC28&lt;&gt;"",AC28,0)</f>
        <v>0</v>
      </c>
    </row>
    <row r="28" spans="2:58" ht="24" customHeight="1" thickBot="1">
      <c r="B28" s="358"/>
      <c r="C28" s="45" t="s">
        <v>84</v>
      </c>
      <c r="D28" s="46">
        <f>VLOOKUP("後"&amp;$B25&amp;E$31,'２部北対戦表'!$S$1:$V$89,2,FALSE)</f>
      </c>
      <c r="E28" s="46">
        <f>IF(D28&lt;&gt;"",IF(D28&gt;F28,"○",IF(D28&lt;F28,"●","△")),"")</f>
      </c>
      <c r="F28" s="46">
        <f>VLOOKUP("後"&amp;$B25&amp;E$31,'２部北対戦表'!$S$1:$V$89,3,FALSE)</f>
      </c>
      <c r="G28" s="47" t="s">
        <v>85</v>
      </c>
      <c r="H28" s="45" t="s">
        <v>84</v>
      </c>
      <c r="I28" s="46">
        <f>VLOOKUP("後"&amp;$B25&amp;J$31,'２部北対戦表'!$S$1:$V$89,2,FALSE)</f>
      </c>
      <c r="J28" s="46">
        <f>IF(I28&lt;&gt;"",IF(I28&gt;K28,"○",IF(I28&lt;K28,"●","△")),"")</f>
      </c>
      <c r="K28" s="46">
        <f>VLOOKUP("後"&amp;$B25&amp;J$31,'２部北対戦表'!$S$1:$V$89,3,FALSE)</f>
      </c>
      <c r="L28" s="47" t="s">
        <v>85</v>
      </c>
      <c r="M28" s="45" t="s">
        <v>84</v>
      </c>
      <c r="N28" s="46">
        <f>VLOOKUP("後"&amp;$B25&amp;O$31,'２部北対戦表'!$S$1:$V$89,2,FALSE)</f>
      </c>
      <c r="O28" s="46">
        <f>IF(N28&lt;&gt;"",IF(N28&gt;P28,"○",IF(N28&lt;P28,"●","△")),"")</f>
      </c>
      <c r="P28" s="46">
        <f>VLOOKUP("後"&amp;$B25&amp;O$31,'２部北対戦表'!$S$1:$V$89,3,FALSE)</f>
      </c>
      <c r="Q28" s="47" t="s">
        <v>85</v>
      </c>
      <c r="R28" s="45" t="s">
        <v>84</v>
      </c>
      <c r="S28" s="46">
        <f>VLOOKUP("後"&amp;$B25&amp;T$31,'２部北対戦表'!$S$1:$V$89,2,FALSE)</f>
      </c>
      <c r="T28" s="46">
        <f>IF(S28&lt;&gt;"",IF(S28&gt;U28,"○",IF(S28&lt;U28,"●","△")),"")</f>
      </c>
      <c r="U28" s="46">
        <f>VLOOKUP("後"&amp;$B25&amp;T$31,'２部北対戦表'!$S$1:$V$89,3,FALSE)</f>
      </c>
      <c r="V28" s="47" t="s">
        <v>85</v>
      </c>
      <c r="W28" s="45" t="s">
        <v>84</v>
      </c>
      <c r="X28" s="46">
        <f>VLOOKUP("後"&amp;$B25&amp;Y$31,'２部北対戦表'!$S$1:$V$89,2,FALSE)</f>
      </c>
      <c r="Y28" s="46">
        <f>IF(X28&lt;&gt;"",IF(X28&gt;Z28,"○",IF(X28&lt;Z28,"●","△")),"")</f>
      </c>
      <c r="Z28" s="46">
        <f>VLOOKUP("後"&amp;$B25&amp;Y$31,'２部北対戦表'!$S$1:$V$89,3,FALSE)</f>
      </c>
      <c r="AA28" s="47" t="s">
        <v>85</v>
      </c>
      <c r="AB28" s="268"/>
      <c r="AC28" s="269"/>
      <c r="AD28" s="269"/>
      <c r="AE28" s="269"/>
      <c r="AF28" s="270"/>
      <c r="AG28" s="273"/>
      <c r="AH28" s="215"/>
      <c r="AI28" s="215"/>
      <c r="AJ28" s="376"/>
      <c r="AK28" s="271"/>
      <c r="AL28" s="271"/>
      <c r="AM28" s="219"/>
      <c r="AN28" s="272"/>
      <c r="AT28" s="75">
        <f>SUM(BA25:BF25)+SUM(BA27:BF27)</f>
        <v>10</v>
      </c>
      <c r="AU28" s="75">
        <f>SUM(BA26:BF26)+SUM(BA28:BF28)</f>
        <v>26</v>
      </c>
      <c r="AV28" s="57">
        <f>+AT28-AU28</f>
        <v>-16</v>
      </c>
      <c r="AW28" s="31"/>
      <c r="AX28" s="31"/>
      <c r="AY28" s="31"/>
      <c r="BA28" s="64">
        <f>IF(F28&lt;&gt;"",F28,0)</f>
        <v>0</v>
      </c>
      <c r="BB28" s="64">
        <f>IF(K28&lt;&gt;"",K28,0)</f>
        <v>0</v>
      </c>
      <c r="BC28" s="64">
        <f>IF(P28&lt;&gt;"",P28,0)</f>
        <v>0</v>
      </c>
      <c r="BD28" s="64">
        <f>IF(U28&lt;&gt;"",U28,0)</f>
        <v>0</v>
      </c>
      <c r="BE28" s="64">
        <f>IF(Z28&lt;&gt;"",Z28,0)</f>
        <v>0</v>
      </c>
      <c r="BF28" s="64">
        <f>IF(AE28&lt;&gt;"",AE28,0)</f>
        <v>0</v>
      </c>
    </row>
    <row r="29" ht="30" customHeight="1">
      <c r="B29" s="87"/>
    </row>
    <row r="31" spans="2:40" ht="14.25">
      <c r="B31" s="11"/>
      <c r="C31" s="12"/>
      <c r="D31" s="12"/>
      <c r="E31" s="12" t="str">
        <f>+B5</f>
        <v>北Ａ</v>
      </c>
      <c r="F31" s="12"/>
      <c r="G31" s="12"/>
      <c r="H31" s="12"/>
      <c r="I31" s="12"/>
      <c r="J31" s="12" t="str">
        <f>+B9</f>
        <v>北Ｃ</v>
      </c>
      <c r="K31" s="12"/>
      <c r="L31" s="12"/>
      <c r="M31" s="12"/>
      <c r="N31" s="12"/>
      <c r="O31" s="12" t="str">
        <f>+B13</f>
        <v>北Ｂ</v>
      </c>
      <c r="P31" s="12"/>
      <c r="Q31" s="12"/>
      <c r="R31" s="12"/>
      <c r="S31" s="12"/>
      <c r="T31" s="12" t="str">
        <f>+B17</f>
        <v>北Ｄ</v>
      </c>
      <c r="U31" s="12"/>
      <c r="V31" s="12"/>
      <c r="W31" s="12"/>
      <c r="X31" s="12"/>
      <c r="Y31" s="12" t="str">
        <f>+B21</f>
        <v>北Ｅ</v>
      </c>
      <c r="Z31" s="12"/>
      <c r="AA31" s="12"/>
      <c r="AB31" s="12"/>
      <c r="AC31" s="12"/>
      <c r="AD31" s="12" t="str">
        <f>+B25</f>
        <v>北Ｆ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3"/>
    </row>
    <row r="33" spans="2:7" ht="17.25">
      <c r="B33" s="3" t="s">
        <v>19</v>
      </c>
      <c r="C33" s="200">
        <f>VLOOKUP("前"&amp;$B33&amp;E$31,'２部北対戦表'!$S$1:$V$89,4,FALSE)</f>
        <v>40315</v>
      </c>
      <c r="D33" s="201"/>
      <c r="E33" s="201"/>
      <c r="F33" s="201"/>
      <c r="G33" s="202"/>
    </row>
    <row r="34" spans="2:7" ht="17.25">
      <c r="B34" s="357" t="str">
        <f>VLOOKUP(B33,'参加チーム'!$B$5:$G$73,IF($AG$3=1,3,4),FALSE)</f>
        <v>PIETRA</v>
      </c>
      <c r="C34" s="41" t="s">
        <v>84</v>
      </c>
      <c r="D34" s="42">
        <f>VLOOKUP("前"&amp;$B33&amp;E$31,'２部北対戦表'!$S$1:$V$89,2,FALSE)</f>
        <v>3</v>
      </c>
      <c r="E34" s="42" t="str">
        <f>IF(D34&lt;&gt;"",IF(D34&gt;F34,"○",IF(D34&lt;F34,"●","△")),"-")</f>
        <v>●</v>
      </c>
      <c r="F34" s="42">
        <f>VLOOKUP("前"&amp;$B33&amp;E$31,'２部北対戦表'!$S$1:$V$89,3,FALSE)</f>
        <v>10</v>
      </c>
      <c r="G34" s="43" t="s">
        <v>85</v>
      </c>
    </row>
    <row r="35" spans="2:7" ht="17.25">
      <c r="B35" s="357"/>
      <c r="C35" s="203">
        <f>VLOOKUP("後"&amp;$B33&amp;E$31,'２部北対戦表'!$S$1:$V$89,4,FALSE)</f>
        <v>40420</v>
      </c>
      <c r="D35" s="204"/>
      <c r="E35" s="204"/>
      <c r="F35" s="204"/>
      <c r="G35" s="205"/>
    </row>
    <row r="36" spans="2:7" ht="18" thickBot="1">
      <c r="B36" s="358"/>
      <c r="C36" s="45" t="s">
        <v>84</v>
      </c>
      <c r="D36" s="46">
        <f>VLOOKUP("後"&amp;$B33&amp;E$31,'２部北対戦表'!$S$1:$V$89,2,FALSE)</f>
      </c>
      <c r="E36" s="46">
        <f>IF(D36&lt;&gt;"",IF(D36&gt;F36,"○",IF(D36&lt;F36,"●","△")),"")</f>
      </c>
      <c r="F36" s="46">
        <f>VLOOKUP("後"&amp;$B33&amp;E$31,'２部北対戦表'!$S$1:$V$89,3,FALSE)</f>
      </c>
      <c r="G36" s="47" t="s">
        <v>85</v>
      </c>
    </row>
    <row r="39" spans="33:40" ht="14.25">
      <c r="AG39" s="206" t="s">
        <v>14</v>
      </c>
      <c r="AH39" s="207"/>
      <c r="AI39" s="207"/>
      <c r="AJ39" s="207"/>
      <c r="AK39" s="207"/>
      <c r="AL39" s="207"/>
      <c r="AM39" s="207"/>
      <c r="AN39" s="208"/>
    </row>
    <row r="40" spans="33:42" ht="14.25">
      <c r="AG40" s="209"/>
      <c r="AH40" s="210"/>
      <c r="AI40" s="210"/>
      <c r="AJ40" s="210"/>
      <c r="AK40" s="210"/>
      <c r="AL40" s="210"/>
      <c r="AM40" s="210"/>
      <c r="AN40" s="211"/>
      <c r="AP40" s="71" t="s">
        <v>109</v>
      </c>
    </row>
    <row r="41" spans="33:40" ht="14.25">
      <c r="AG41" s="57"/>
      <c r="AH41" s="83"/>
      <c r="AI41" s="83"/>
      <c r="AJ41" s="83"/>
      <c r="AK41" s="83"/>
      <c r="AL41" s="83"/>
      <c r="AM41" s="83"/>
      <c r="AN41" s="57"/>
    </row>
    <row r="42" spans="33:42" ht="14.25">
      <c r="AG42" s="71">
        <f>+AN5</f>
        <v>1</v>
      </c>
      <c r="AH42" s="70" t="str">
        <f>+B6</f>
        <v>Itatica</v>
      </c>
      <c r="AI42" s="70"/>
      <c r="AJ42" s="70"/>
      <c r="AK42" s="70"/>
      <c r="AL42" s="70"/>
      <c r="AM42" s="70"/>
      <c r="AN42" s="71" t="str">
        <f>+B5</f>
        <v>北Ａ</v>
      </c>
      <c r="AP42" s="71">
        <f>+AP6</f>
        <v>0</v>
      </c>
    </row>
    <row r="43" spans="33:42" ht="14.25">
      <c r="AG43" s="71">
        <f>+AN9</f>
        <v>2</v>
      </c>
      <c r="AH43" s="70" t="str">
        <f>+B10</f>
        <v>Carioca</v>
      </c>
      <c r="AI43" s="70"/>
      <c r="AJ43" s="70"/>
      <c r="AK43" s="70"/>
      <c r="AL43" s="70"/>
      <c r="AM43" s="70"/>
      <c r="AN43" s="71" t="str">
        <f>+B9</f>
        <v>北Ｃ</v>
      </c>
      <c r="AP43" s="71">
        <f>+AP10</f>
        <v>0</v>
      </c>
    </row>
    <row r="44" spans="33:42" ht="14.25">
      <c r="AG44" s="71">
        <f>+AN13</f>
        <v>3</v>
      </c>
      <c r="AH44" s="70" t="str">
        <f>+B14</f>
        <v>ヴィヴァーレ</v>
      </c>
      <c r="AI44" s="70"/>
      <c r="AJ44" s="70"/>
      <c r="AK44" s="70"/>
      <c r="AL44" s="70"/>
      <c r="AM44" s="70"/>
      <c r="AN44" s="71" t="str">
        <f>+B13</f>
        <v>北Ｂ</v>
      </c>
      <c r="AP44" s="71">
        <f>+AP14</f>
        <v>0</v>
      </c>
    </row>
    <row r="45" spans="33:42" ht="14.25">
      <c r="AG45" s="71">
        <f>+AN17</f>
        <v>4</v>
      </c>
      <c r="AH45" s="70" t="str">
        <f>+B18</f>
        <v>ステラミーゴ</v>
      </c>
      <c r="AI45" s="70"/>
      <c r="AJ45" s="70"/>
      <c r="AK45" s="70"/>
      <c r="AL45" s="70"/>
      <c r="AM45" s="70"/>
      <c r="AN45" s="71" t="str">
        <f>+B17</f>
        <v>北Ｄ</v>
      </c>
      <c r="AP45" s="71">
        <f>+AP18</f>
        <v>0</v>
      </c>
    </row>
    <row r="46" spans="33:42" ht="14.25">
      <c r="AG46" s="71">
        <f>+AN21</f>
        <v>5</v>
      </c>
      <c r="AH46" s="70" t="str">
        <f>+B22</f>
        <v>Rion</v>
      </c>
      <c r="AI46" s="70"/>
      <c r="AJ46" s="70"/>
      <c r="AK46" s="70"/>
      <c r="AL46" s="70"/>
      <c r="AM46" s="70"/>
      <c r="AN46" s="71" t="str">
        <f>+B21</f>
        <v>北Ｅ</v>
      </c>
      <c r="AP46" s="71">
        <f>+AP22</f>
        <v>0</v>
      </c>
    </row>
    <row r="47" spans="33:42" ht="14.25">
      <c r="AG47" s="71">
        <f>+AN25</f>
        <v>6</v>
      </c>
      <c r="AH47" s="70" t="str">
        <f>+B26</f>
        <v>PIETRA</v>
      </c>
      <c r="AI47" s="70"/>
      <c r="AJ47" s="70"/>
      <c r="AK47" s="70"/>
      <c r="AL47" s="70"/>
      <c r="AM47" s="70"/>
      <c r="AN47" s="71" t="str">
        <f>+B25</f>
        <v>北Ｆ</v>
      </c>
      <c r="AP47" s="71">
        <f>+AP26</f>
        <v>0</v>
      </c>
    </row>
    <row r="48" spans="33:42" ht="14.25">
      <c r="AG48" s="71"/>
      <c r="AH48" s="70"/>
      <c r="AI48" s="70"/>
      <c r="AJ48" s="70"/>
      <c r="AK48" s="70"/>
      <c r="AL48" s="70"/>
      <c r="AM48" s="70"/>
      <c r="AN48" s="71"/>
      <c r="AP48" s="71"/>
    </row>
    <row r="49" spans="33:42" ht="14.25">
      <c r="AG49" s="71"/>
      <c r="AH49" s="70"/>
      <c r="AI49" s="70"/>
      <c r="AJ49" s="70"/>
      <c r="AK49" s="70"/>
      <c r="AL49" s="70"/>
      <c r="AM49" s="70"/>
      <c r="AN49" s="71"/>
      <c r="AP49" s="71"/>
    </row>
    <row r="51" spans="33:40" ht="14.25">
      <c r="AG51" s="383" t="s">
        <v>1</v>
      </c>
      <c r="AH51" s="384"/>
      <c r="AI51" s="384"/>
      <c r="AJ51" s="384"/>
      <c r="AK51" s="384"/>
      <c r="AL51" s="384"/>
      <c r="AM51" s="384"/>
      <c r="AN51" s="385"/>
    </row>
    <row r="52" spans="33:40" ht="14.25">
      <c r="AG52" s="386"/>
      <c r="AH52" s="387"/>
      <c r="AI52" s="387"/>
      <c r="AJ52" s="387"/>
      <c r="AK52" s="387"/>
      <c r="AL52" s="387"/>
      <c r="AM52" s="387"/>
      <c r="AN52" s="388"/>
    </row>
    <row r="53" spans="33:42" ht="14.25">
      <c r="AG53" s="389"/>
      <c r="AH53" s="390"/>
      <c r="AI53" s="390"/>
      <c r="AJ53" s="390"/>
      <c r="AK53" s="390"/>
      <c r="AL53" s="390"/>
      <c r="AM53" s="390"/>
      <c r="AN53" s="391"/>
      <c r="AP53" s="71"/>
    </row>
    <row r="55" spans="33:42" ht="14.25">
      <c r="AG55" s="73">
        <v>1</v>
      </c>
      <c r="AH55" s="72" t="s">
        <v>150</v>
      </c>
      <c r="AI55" s="72"/>
      <c r="AJ55" s="72"/>
      <c r="AK55" s="72"/>
      <c r="AL55" s="72"/>
      <c r="AM55" s="72"/>
      <c r="AN55" s="73" t="s">
        <v>8</v>
      </c>
      <c r="AP55" s="71"/>
    </row>
    <row r="56" spans="33:42" ht="14.25">
      <c r="AG56" s="73">
        <v>2</v>
      </c>
      <c r="AH56" s="72" t="s">
        <v>159</v>
      </c>
      <c r="AI56" s="72"/>
      <c r="AJ56" s="72"/>
      <c r="AK56" s="72"/>
      <c r="AL56" s="72"/>
      <c r="AM56" s="72"/>
      <c r="AN56" s="73" t="s">
        <v>10</v>
      </c>
      <c r="AP56" s="71"/>
    </row>
    <row r="57" spans="33:42" ht="14.25">
      <c r="AG57" s="73">
        <v>3</v>
      </c>
      <c r="AH57" s="72" t="s">
        <v>154</v>
      </c>
      <c r="AI57" s="72"/>
      <c r="AJ57" s="72"/>
      <c r="AK57" s="72"/>
      <c r="AL57" s="72"/>
      <c r="AM57" s="72"/>
      <c r="AN57" s="73" t="s">
        <v>9</v>
      </c>
      <c r="AP57" s="71"/>
    </row>
    <row r="58" spans="33:42" ht="14.25">
      <c r="AG58" s="73">
        <v>4</v>
      </c>
      <c r="AH58" s="72" t="s">
        <v>152</v>
      </c>
      <c r="AI58" s="72"/>
      <c r="AJ58" s="72"/>
      <c r="AK58" s="72"/>
      <c r="AL58" s="72"/>
      <c r="AM58" s="72"/>
      <c r="AN58" s="73" t="s">
        <v>11</v>
      </c>
      <c r="AP58" s="71"/>
    </row>
    <row r="59" spans="33:42" ht="14.25">
      <c r="AG59" s="73">
        <v>5</v>
      </c>
      <c r="AH59" s="72" t="s">
        <v>155</v>
      </c>
      <c r="AI59" s="72"/>
      <c r="AJ59" s="72"/>
      <c r="AK59" s="72"/>
      <c r="AL59" s="72"/>
      <c r="AM59" s="72"/>
      <c r="AN59" s="73" t="s">
        <v>12</v>
      </c>
      <c r="AP59" s="71"/>
    </row>
    <row r="60" spans="33:42" ht="14.25">
      <c r="AG60" s="73">
        <v>6</v>
      </c>
      <c r="AH60" s="72" t="s">
        <v>254</v>
      </c>
      <c r="AI60" s="72"/>
      <c r="AJ60" s="72"/>
      <c r="AK60" s="72"/>
      <c r="AL60" s="72"/>
      <c r="AM60" s="72"/>
      <c r="AN60" s="73" t="s">
        <v>13</v>
      </c>
      <c r="AP60" s="71"/>
    </row>
    <row r="61" spans="33:42" ht="14.25">
      <c r="AG61" s="73"/>
      <c r="AH61" s="72"/>
      <c r="AI61" s="72"/>
      <c r="AJ61" s="72"/>
      <c r="AK61" s="72"/>
      <c r="AL61" s="72"/>
      <c r="AM61" s="72"/>
      <c r="AN61" s="73"/>
      <c r="AP61" s="71"/>
    </row>
    <row r="62" spans="33:42" ht="14.25">
      <c r="AG62" s="73"/>
      <c r="AH62" s="72"/>
      <c r="AI62" s="72"/>
      <c r="AJ62" s="72"/>
      <c r="AK62" s="72"/>
      <c r="AL62" s="72"/>
      <c r="AM62" s="72"/>
      <c r="AN62" s="73"/>
      <c r="AP62" s="71"/>
    </row>
  </sheetData>
  <sheetProtection sheet="1" objects="1" scenarios="1"/>
  <mergeCells count="143">
    <mergeCell ref="AP18:AP19"/>
    <mergeCell ref="AL17:AL20"/>
    <mergeCell ref="AN5:AN8"/>
    <mergeCell ref="AM5:AM8"/>
    <mergeCell ref="AL9:AL12"/>
    <mergeCell ref="AN13:AN16"/>
    <mergeCell ref="AL5:AL8"/>
    <mergeCell ref="AP6:AP7"/>
    <mergeCell ref="AP10:AP11"/>
    <mergeCell ref="AP14:AP15"/>
    <mergeCell ref="AG51:AN53"/>
    <mergeCell ref="AG39:AN40"/>
    <mergeCell ref="AR22:AR23"/>
    <mergeCell ref="AR26:AR27"/>
    <mergeCell ref="AP26:AP27"/>
    <mergeCell ref="AP22:AP23"/>
    <mergeCell ref="AN25:AN28"/>
    <mergeCell ref="AN21:AN24"/>
    <mergeCell ref="AL25:AL28"/>
    <mergeCell ref="AM25:AM28"/>
    <mergeCell ref="AR6:AR7"/>
    <mergeCell ref="AR10:AR11"/>
    <mergeCell ref="AR14:AR15"/>
    <mergeCell ref="AR18:AR19"/>
    <mergeCell ref="AK21:AK24"/>
    <mergeCell ref="AL21:AL24"/>
    <mergeCell ref="AM21:AM24"/>
    <mergeCell ref="AK25:AK28"/>
    <mergeCell ref="AJ5:AJ8"/>
    <mergeCell ref="AJ13:AJ16"/>
    <mergeCell ref="AK9:AK12"/>
    <mergeCell ref="AK5:AK8"/>
    <mergeCell ref="AJ9:AJ12"/>
    <mergeCell ref="AK13:AK16"/>
    <mergeCell ref="AI25:AI28"/>
    <mergeCell ref="AJ25:AJ28"/>
    <mergeCell ref="AI17:AI20"/>
    <mergeCell ref="AI21:AI24"/>
    <mergeCell ref="AJ21:AJ24"/>
    <mergeCell ref="AJ17:AJ20"/>
    <mergeCell ref="AB19:AF19"/>
    <mergeCell ref="W19:AA19"/>
    <mergeCell ref="AN9:AN12"/>
    <mergeCell ref="AM17:AM20"/>
    <mergeCell ref="AN17:AN20"/>
    <mergeCell ref="AM9:AM12"/>
    <mergeCell ref="AI13:AI16"/>
    <mergeCell ref="AL13:AL16"/>
    <mergeCell ref="AK17:AK20"/>
    <mergeCell ref="AM13:AM16"/>
    <mergeCell ref="C19:G19"/>
    <mergeCell ref="C21:G21"/>
    <mergeCell ref="AG25:AG28"/>
    <mergeCell ref="M27:Q27"/>
    <mergeCell ref="M25:Q25"/>
    <mergeCell ref="M23:Q23"/>
    <mergeCell ref="R25:V25"/>
    <mergeCell ref="R27:V27"/>
    <mergeCell ref="AB23:AF23"/>
    <mergeCell ref="W25:AA25"/>
    <mergeCell ref="AB21:AF21"/>
    <mergeCell ref="AB25:AF28"/>
    <mergeCell ref="C25:G25"/>
    <mergeCell ref="AH25:AH28"/>
    <mergeCell ref="AH21:AH24"/>
    <mergeCell ref="AG21:AG24"/>
    <mergeCell ref="M21:Q21"/>
    <mergeCell ref="H17:L17"/>
    <mergeCell ref="H19:L19"/>
    <mergeCell ref="M17:Q17"/>
    <mergeCell ref="W17:AA17"/>
    <mergeCell ref="M19:Q19"/>
    <mergeCell ref="AH17:AH20"/>
    <mergeCell ref="AB13:AF13"/>
    <mergeCell ref="AG13:AG16"/>
    <mergeCell ref="AH9:AH12"/>
    <mergeCell ref="AB11:AF11"/>
    <mergeCell ref="AB9:AF9"/>
    <mergeCell ref="AB15:AF15"/>
    <mergeCell ref="AH13:AH16"/>
    <mergeCell ref="AB17:AF17"/>
    <mergeCell ref="AG9:AG12"/>
    <mergeCell ref="C4:G4"/>
    <mergeCell ref="H4:L4"/>
    <mergeCell ref="M4:Q4"/>
    <mergeCell ref="M7:Q7"/>
    <mergeCell ref="M5:Q5"/>
    <mergeCell ref="AG17:AG20"/>
    <mergeCell ref="AB4:AF4"/>
    <mergeCell ref="C5:G8"/>
    <mergeCell ref="AB5:AF5"/>
    <mergeCell ref="AB7:AF7"/>
    <mergeCell ref="H5:L5"/>
    <mergeCell ref="H7:L7"/>
    <mergeCell ref="R4:V4"/>
    <mergeCell ref="R7:V7"/>
    <mergeCell ref="W4:AA4"/>
    <mergeCell ref="AI5:AI8"/>
    <mergeCell ref="W13:AA13"/>
    <mergeCell ref="R5:V5"/>
    <mergeCell ref="R9:V9"/>
    <mergeCell ref="AH5:AH8"/>
    <mergeCell ref="W5:AA5"/>
    <mergeCell ref="W9:AA9"/>
    <mergeCell ref="AI9:AI12"/>
    <mergeCell ref="R13:V13"/>
    <mergeCell ref="AG5:AG8"/>
    <mergeCell ref="W7:AA7"/>
    <mergeCell ref="C17:G17"/>
    <mergeCell ref="C23:G23"/>
    <mergeCell ref="B26:B28"/>
    <mergeCell ref="B18:B20"/>
    <mergeCell ref="C27:G27"/>
    <mergeCell ref="H13:L13"/>
    <mergeCell ref="W15:AA15"/>
    <mergeCell ref="M11:Q11"/>
    <mergeCell ref="C9:G9"/>
    <mergeCell ref="R15:V15"/>
    <mergeCell ref="R17:V20"/>
    <mergeCell ref="C35:G35"/>
    <mergeCell ref="W11:AA11"/>
    <mergeCell ref="R11:V11"/>
    <mergeCell ref="H27:L27"/>
    <mergeCell ref="H25:L25"/>
    <mergeCell ref="R23:V23"/>
    <mergeCell ref="R21:V21"/>
    <mergeCell ref="M13:Q16"/>
    <mergeCell ref="C13:G13"/>
    <mergeCell ref="C15:G15"/>
    <mergeCell ref="H15:L15"/>
    <mergeCell ref="B14:B16"/>
    <mergeCell ref="B34:B36"/>
    <mergeCell ref="W21:AA24"/>
    <mergeCell ref="W27:AA27"/>
    <mergeCell ref="C33:G33"/>
    <mergeCell ref="H21:L21"/>
    <mergeCell ref="H23:L23"/>
    <mergeCell ref="B22:B24"/>
    <mergeCell ref="B10:B12"/>
    <mergeCell ref="B6:B8"/>
    <mergeCell ref="M9:Q9"/>
    <mergeCell ref="C11:G11"/>
    <mergeCell ref="H9:L12"/>
  </mergeCells>
  <conditionalFormatting sqref="AR22:AR23">
    <cfRule type="expression" priority="1" dxfId="12" stopIfTrue="1">
      <formula>$BB22=$BF$4</formula>
    </cfRule>
    <cfRule type="expression" priority="2" dxfId="12" stopIfTrue="1">
      <formula>$BB22=$BD$4</formula>
    </cfRule>
  </conditionalFormatting>
  <conditionalFormatting sqref="AR10:AR11">
    <cfRule type="expression" priority="5" dxfId="12" stopIfTrue="1">
      <formula>$BB10=$BF$4</formula>
    </cfRule>
    <cfRule type="expression" priority="6" dxfId="12" stopIfTrue="1">
      <formula>$BB10=$BD$4</formula>
    </cfRule>
  </conditionalFormatting>
  <conditionalFormatting sqref="AR14:AR15">
    <cfRule type="expression" priority="13" dxfId="12" stopIfTrue="1">
      <formula>$BB14=$BF$4</formula>
    </cfRule>
    <cfRule type="expression" priority="14" dxfId="12" stopIfTrue="1">
      <formula>$BB14=$BD$4</formula>
    </cfRule>
  </conditionalFormatting>
  <conditionalFormatting sqref="AR26:AR27">
    <cfRule type="expression" priority="19" dxfId="12" stopIfTrue="1">
      <formula>$BB26=$BF$4</formula>
    </cfRule>
    <cfRule type="expression" priority="20" dxfId="12" stopIfTrue="1">
      <formula>$BB26=$BD$4</formula>
    </cfRule>
  </conditionalFormatting>
  <conditionalFormatting sqref="AR6:AR7">
    <cfRule type="expression" priority="7" dxfId="12" stopIfTrue="1">
      <formula>$BB6=$BF$4</formula>
    </cfRule>
    <cfRule type="expression" priority="8" dxfId="12" stopIfTrue="1">
      <formula>$BB6=$BD$4</formula>
    </cfRule>
  </conditionalFormatting>
  <conditionalFormatting sqref="AR18:AR19">
    <cfRule type="expression" priority="3" dxfId="12" stopIfTrue="1">
      <formula>$BB18=$BF$4</formula>
    </cfRule>
    <cfRule type="expression" priority="4" dxfId="12" stopIfTrue="1">
      <formula>$BB18=$BD$4</formula>
    </cfRule>
  </conditionalFormatting>
  <dataValidations count="1">
    <dataValidation type="list" allowBlank="1" showInputMessage="1" showErrorMessage="1" sqref="AR26:AR27 AR6:AR7 AR14:AR15 AR10:AR11 AR18:AR19 AR22:AR23">
      <formula1>"　,○,●"</formula1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H120"/>
  <sheetViews>
    <sheetView tabSelected="1" view="pageBreakPreview" zoomScale="70" zoomScaleNormal="70" zoomScaleSheetLayoutView="70" zoomScalePageLayoutView="0" workbookViewId="0" topLeftCell="A33">
      <selection activeCell="H63" sqref="H63:H64"/>
    </sheetView>
  </sheetViews>
  <sheetFormatPr defaultColWidth="8.796875" defaultRowHeight="15"/>
  <cols>
    <col min="1" max="1" width="9" style="14" customWidth="1"/>
    <col min="2" max="2" width="9.5" style="14" bestFit="1" customWidth="1"/>
    <col min="3" max="3" width="13.59765625" style="14" customWidth="1"/>
    <col min="4" max="4" width="4.59765625" style="14" customWidth="1"/>
    <col min="5" max="6" width="6.59765625" style="14" customWidth="1"/>
    <col min="7" max="7" width="4.69921875" style="14" customWidth="1"/>
    <col min="8" max="8" width="14.59765625" style="14" customWidth="1"/>
    <col min="9" max="13" width="3.59765625" style="14" customWidth="1"/>
    <col min="14" max="14" width="4.69921875" style="14" customWidth="1"/>
    <col min="15" max="15" width="14.59765625" style="14" customWidth="1"/>
    <col min="16" max="16" width="12.59765625" style="14" customWidth="1"/>
    <col min="17" max="17" width="11.59765625" style="14" customWidth="1"/>
    <col min="18" max="18" width="3.8984375" style="14" customWidth="1"/>
    <col min="19" max="19" width="11.19921875" style="14" hidden="1" customWidth="1"/>
    <col min="20" max="21" width="5.19921875" style="14" hidden="1" customWidth="1"/>
    <col min="22" max="22" width="9.5" style="14" hidden="1" customWidth="1"/>
    <col min="23" max="23" width="2.59765625" style="14" hidden="1" customWidth="1"/>
    <col min="24" max="24" width="2.69921875" style="14" hidden="1" customWidth="1"/>
    <col min="25" max="25" width="3.69921875" style="14" hidden="1" customWidth="1"/>
    <col min="26" max="26" width="9" style="14" hidden="1" customWidth="1"/>
    <col min="27" max="27" width="3.69921875" style="14" hidden="1" customWidth="1"/>
    <col min="28" max="28" width="12.19921875" style="14" hidden="1" customWidth="1"/>
    <col min="29" max="29" width="20.59765625" style="14" hidden="1" customWidth="1"/>
    <col min="30" max="33" width="4.59765625" style="14" hidden="1" customWidth="1"/>
    <col min="34" max="34" width="9" style="14" hidden="1" customWidth="1"/>
    <col min="35" max="16384" width="9" style="14" customWidth="1"/>
  </cols>
  <sheetData>
    <row r="1" spans="1:20" ht="28.5" customHeight="1">
      <c r="A1" s="95" t="s">
        <v>167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S1" s="15" t="s">
        <v>88</v>
      </c>
      <c r="T1" s="16"/>
    </row>
    <row r="2" spans="1:20" ht="28.5" customHeight="1" thickBot="1">
      <c r="A2" s="89" t="s">
        <v>99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77">
        <f>+'１部'!$AQ$3</f>
        <v>1</v>
      </c>
      <c r="O2" s="78" t="str">
        <f>IF(N2=1,"略称表示","日本語略称表示")&amp;"（１部成績表からリンク）"</f>
        <v>略称表示（１部成績表からリンク）</v>
      </c>
      <c r="P2" s="94"/>
      <c r="Q2" s="94"/>
      <c r="S2" s="15"/>
      <c r="T2" s="16"/>
    </row>
    <row r="3" spans="1:28" ht="25.5" customHeight="1" thickBot="1">
      <c r="A3" s="93"/>
      <c r="B3" s="26" t="s">
        <v>52</v>
      </c>
      <c r="C3" s="26" t="s">
        <v>53</v>
      </c>
      <c r="D3" s="26" t="s">
        <v>136</v>
      </c>
      <c r="E3" s="26" t="s">
        <v>310</v>
      </c>
      <c r="F3" s="26" t="s">
        <v>54</v>
      </c>
      <c r="G3" s="27"/>
      <c r="H3" s="28" t="s">
        <v>137</v>
      </c>
      <c r="I3" s="299" t="s">
        <v>55</v>
      </c>
      <c r="J3" s="299"/>
      <c r="K3" s="299"/>
      <c r="L3" s="299"/>
      <c r="M3" s="299"/>
      <c r="N3" s="27"/>
      <c r="O3" s="28" t="s">
        <v>138</v>
      </c>
      <c r="P3" s="26" t="s">
        <v>118</v>
      </c>
      <c r="Q3" s="29" t="s">
        <v>51</v>
      </c>
      <c r="S3" s="16"/>
      <c r="T3" s="16"/>
      <c r="X3" s="14" t="s">
        <v>161</v>
      </c>
      <c r="AB3" s="14" t="s">
        <v>161</v>
      </c>
    </row>
    <row r="4" spans="1:34" ht="14.25" customHeight="1">
      <c r="A4" s="288">
        <v>1</v>
      </c>
      <c r="B4" s="398">
        <v>40315</v>
      </c>
      <c r="C4" s="399" t="s">
        <v>58</v>
      </c>
      <c r="D4" s="308">
        <v>1</v>
      </c>
      <c r="E4" s="280">
        <v>0.3958333333333333</v>
      </c>
      <c r="F4" s="280">
        <v>0.4375</v>
      </c>
      <c r="G4" s="84" t="s">
        <v>21</v>
      </c>
      <c r="H4" s="318" t="str">
        <f>VLOOKUP(G4,'参加チーム'!$B$5:$G$73,IF($N$2=1,4,5),FALSE)</f>
        <v>Carioca</v>
      </c>
      <c r="I4" s="300">
        <f>IF(J4&lt;&gt;"",J4+J5,"")</f>
        <v>6</v>
      </c>
      <c r="J4" s="123">
        <v>5</v>
      </c>
      <c r="K4" s="301" t="s">
        <v>86</v>
      </c>
      <c r="L4" s="123">
        <v>1</v>
      </c>
      <c r="M4" s="300">
        <f>IF(L4&lt;&gt;"",L4+L5,"")</f>
        <v>1</v>
      </c>
      <c r="N4" s="84" t="s">
        <v>16</v>
      </c>
      <c r="O4" s="318" t="str">
        <f>VLOOKUP(N4,'参加チーム'!$B$5:$G$73,IF($N$2=1,4,5),FALSE)</f>
        <v>ステラミーゴ</v>
      </c>
      <c r="P4" s="326" t="str">
        <f>+O4</f>
        <v>ステラミーゴ</v>
      </c>
      <c r="Q4" s="322" t="str">
        <f>+O8</f>
        <v>PIETRA</v>
      </c>
      <c r="S4" s="17" t="str">
        <f>+"前"&amp;G4&amp;N4</f>
        <v>前北Ｃ北Ｄ</v>
      </c>
      <c r="T4" s="18">
        <f>IF(I4&lt;&gt;"",I4,"")</f>
        <v>6</v>
      </c>
      <c r="U4" s="18">
        <f>IF(M4&lt;&gt;"",M4,"")</f>
        <v>1</v>
      </c>
      <c r="V4" s="19">
        <f>+B4</f>
        <v>40315</v>
      </c>
      <c r="X4" s="117">
        <f aca="true" t="shared" si="0" ref="X4:X33">MONTH(V4)</f>
        <v>5</v>
      </c>
      <c r="Y4" s="117">
        <f aca="true" t="shared" si="1" ref="Y4:Y33">DAY(V4)</f>
        <v>18</v>
      </c>
      <c r="Z4" s="117" t="str">
        <f aca="true" t="shared" si="2" ref="Z4:Z33">IF(LEN(X4)=1," ","")&amp;X4&amp;"/"&amp;IF(LEN(Y4)=1," ","")&amp;Y4</f>
        <v> 5/18</v>
      </c>
      <c r="AA4" s="117" t="str">
        <f aca="true" t="shared" si="3" ref="AA4:AA33">IF(T4&gt;U4,"○",IF(T4&lt;U4,"●","△"))</f>
        <v>○</v>
      </c>
      <c r="AB4" s="14" t="str">
        <f>IF(T4&lt;&gt;"",H4,"")</f>
        <v>Carioca</v>
      </c>
      <c r="AC4" s="117" t="str">
        <f>+Z4&amp;" "&amp;AA4&amp;" "&amp;T4&amp;"-"&amp;U4&amp;" "&amp;O4</f>
        <v> 5/18 ○ 6-1 ステラミーゴ</v>
      </c>
      <c r="AD4" s="14">
        <f>+J4</f>
        <v>5</v>
      </c>
      <c r="AE4" s="14">
        <f>+J5</f>
        <v>1</v>
      </c>
      <c r="AF4" s="14">
        <f>+L4</f>
        <v>1</v>
      </c>
      <c r="AG4" s="14">
        <f>+L5</f>
        <v>0</v>
      </c>
      <c r="AH4" s="121">
        <f>+V4</f>
        <v>40315</v>
      </c>
    </row>
    <row r="5" spans="1:34" ht="14.25" customHeight="1">
      <c r="A5" s="289"/>
      <c r="B5" s="328"/>
      <c r="C5" s="400"/>
      <c r="D5" s="309"/>
      <c r="E5" s="281"/>
      <c r="F5" s="281"/>
      <c r="G5" s="85" t="str">
        <f>LEFT(VLOOKUP(G4,'参加チーム'!$B$5:$G$73,6,FALSE),2)</f>
        <v>岩手</v>
      </c>
      <c r="H5" s="317"/>
      <c r="I5" s="281"/>
      <c r="J5" s="116">
        <v>1</v>
      </c>
      <c r="K5" s="302"/>
      <c r="L5" s="116">
        <v>0</v>
      </c>
      <c r="M5" s="281"/>
      <c r="N5" s="85" t="str">
        <f>LEFT(VLOOKUP(N4,'参加チーム'!$B$5:$G$73,6,FALSE),2)</f>
        <v>岩手</v>
      </c>
      <c r="O5" s="317"/>
      <c r="P5" s="307"/>
      <c r="Q5" s="323"/>
      <c r="S5" s="20" t="str">
        <f>+"前"&amp;N4&amp;G4</f>
        <v>前北Ｄ北Ｃ</v>
      </c>
      <c r="T5" s="16">
        <f>IF(M4&lt;&gt;"",M4,"")</f>
        <v>1</v>
      </c>
      <c r="U5" s="16">
        <f>IF(I4&lt;&gt;"",I4,"")</f>
        <v>6</v>
      </c>
      <c r="V5" s="21">
        <f>+B4</f>
        <v>40315</v>
      </c>
      <c r="X5" s="117">
        <f t="shared" si="0"/>
        <v>5</v>
      </c>
      <c r="Y5" s="117">
        <f t="shared" si="1"/>
        <v>18</v>
      </c>
      <c r="Z5" s="117" t="str">
        <f t="shared" si="2"/>
        <v> 5/18</v>
      </c>
      <c r="AA5" s="117" t="str">
        <f t="shared" si="3"/>
        <v>●</v>
      </c>
      <c r="AB5" s="14" t="str">
        <f aca="true" t="shared" si="4" ref="AB5:AB33">IF(T5&lt;&gt;"",O4,"")</f>
        <v>ステラミーゴ</v>
      </c>
      <c r="AC5" s="117" t="str">
        <f>+Z5&amp;" "&amp;AA5&amp;" "&amp;T5&amp;"-"&amp;U5&amp;" "&amp;H4</f>
        <v> 5/18 ● 1-6 Carioca</v>
      </c>
      <c r="AD5" s="14">
        <f>+L4</f>
        <v>1</v>
      </c>
      <c r="AE5" s="14">
        <f>+L5</f>
        <v>0</v>
      </c>
      <c r="AF5" s="14">
        <f>+J4</f>
        <v>5</v>
      </c>
      <c r="AG5" s="14">
        <f>+J5</f>
        <v>1</v>
      </c>
      <c r="AH5" s="121">
        <f aca="true" t="shared" si="5" ref="AH5:AH33">+V5</f>
        <v>40315</v>
      </c>
    </row>
    <row r="6" spans="1:34" ht="14.25" customHeight="1">
      <c r="A6" s="289"/>
      <c r="B6" s="328"/>
      <c r="C6" s="400"/>
      <c r="D6" s="297">
        <v>2</v>
      </c>
      <c r="E6" s="282">
        <v>0.45138888888888895</v>
      </c>
      <c r="F6" s="282">
        <v>0.513888888888889</v>
      </c>
      <c r="G6" s="86" t="s">
        <v>20</v>
      </c>
      <c r="H6" s="316" t="str">
        <f>VLOOKUP(G6,'参加チーム'!$B$5:$G$73,IF($N$2=1,4,5),FALSE)</f>
        <v>ヴィヴァーレ</v>
      </c>
      <c r="I6" s="304">
        <f>IF(J6&lt;&gt;"",J6+J7,"")</f>
        <v>3</v>
      </c>
      <c r="J6" s="116">
        <v>1</v>
      </c>
      <c r="K6" s="303" t="s">
        <v>86</v>
      </c>
      <c r="L6" s="116">
        <v>0</v>
      </c>
      <c r="M6" s="304">
        <f>IF(L6&lt;&gt;"",L6+L7,"")</f>
        <v>1</v>
      </c>
      <c r="N6" s="86" t="s">
        <v>18</v>
      </c>
      <c r="O6" s="316" t="str">
        <f>VLOOKUP(N6,'参加チーム'!$B$5:$G$73,IF($N$2=1,4,5),FALSE)</f>
        <v>Rion</v>
      </c>
      <c r="P6" s="325" t="str">
        <f>+O6</f>
        <v>Rion</v>
      </c>
      <c r="Q6" s="323"/>
      <c r="S6" s="20" t="str">
        <f>+"前"&amp;G6&amp;N6</f>
        <v>前北Ｂ北Ｅ</v>
      </c>
      <c r="T6" s="16">
        <f>+I6</f>
        <v>3</v>
      </c>
      <c r="U6" s="16">
        <f>+M6</f>
        <v>1</v>
      </c>
      <c r="V6" s="21">
        <f>+B4</f>
        <v>40315</v>
      </c>
      <c r="X6" s="117">
        <f t="shared" si="0"/>
        <v>5</v>
      </c>
      <c r="Y6" s="117">
        <f t="shared" si="1"/>
        <v>18</v>
      </c>
      <c r="Z6" s="117" t="str">
        <f t="shared" si="2"/>
        <v> 5/18</v>
      </c>
      <c r="AA6" s="117" t="str">
        <f t="shared" si="3"/>
        <v>○</v>
      </c>
      <c r="AB6" s="14" t="str">
        <f>IF(T6&lt;&gt;"",H6,"")</f>
        <v>ヴィヴァーレ</v>
      </c>
      <c r="AC6" s="117" t="str">
        <f>+Z6&amp;" "&amp;AA6&amp;" "&amp;T6&amp;"-"&amp;U6&amp;" "&amp;O6</f>
        <v> 5/18 ○ 3-1 Rion</v>
      </c>
      <c r="AD6" s="14">
        <f>+J6</f>
        <v>1</v>
      </c>
      <c r="AE6" s="14">
        <f>+J7</f>
        <v>2</v>
      </c>
      <c r="AF6" s="14">
        <f>+L6</f>
        <v>0</v>
      </c>
      <c r="AG6" s="14">
        <f>+L7</f>
        <v>1</v>
      </c>
      <c r="AH6" s="121">
        <f t="shared" si="5"/>
        <v>40315</v>
      </c>
    </row>
    <row r="7" spans="1:34" ht="14.25" customHeight="1">
      <c r="A7" s="289"/>
      <c r="B7" s="328"/>
      <c r="C7" s="401" t="s">
        <v>170</v>
      </c>
      <c r="D7" s="309"/>
      <c r="E7" s="281"/>
      <c r="F7" s="281"/>
      <c r="G7" s="85" t="str">
        <f>LEFT(VLOOKUP(G6,'参加チーム'!$B$5:$G$73,6,FALSE),2)</f>
        <v>岩手</v>
      </c>
      <c r="H7" s="317"/>
      <c r="I7" s="281"/>
      <c r="J7" s="116">
        <v>2</v>
      </c>
      <c r="K7" s="302"/>
      <c r="L7" s="116">
        <v>1</v>
      </c>
      <c r="M7" s="281"/>
      <c r="N7" s="85" t="str">
        <f>LEFT(VLOOKUP(N6,'参加チーム'!$B$5:$G$73,6,FALSE),2)</f>
        <v>秋田</v>
      </c>
      <c r="O7" s="317"/>
      <c r="P7" s="307"/>
      <c r="Q7" s="323"/>
      <c r="S7" s="20" t="str">
        <f>+"前"&amp;N6&amp;G6</f>
        <v>前北Ｅ北Ｂ</v>
      </c>
      <c r="T7" s="16">
        <f>+M6</f>
        <v>1</v>
      </c>
      <c r="U7" s="16">
        <f>+I6</f>
        <v>3</v>
      </c>
      <c r="V7" s="21">
        <f>+B4</f>
        <v>40315</v>
      </c>
      <c r="X7" s="117">
        <f t="shared" si="0"/>
        <v>5</v>
      </c>
      <c r="Y7" s="117">
        <f t="shared" si="1"/>
        <v>18</v>
      </c>
      <c r="Z7" s="117" t="str">
        <f t="shared" si="2"/>
        <v> 5/18</v>
      </c>
      <c r="AA7" s="117" t="str">
        <f t="shared" si="3"/>
        <v>●</v>
      </c>
      <c r="AB7" s="14" t="str">
        <f t="shared" si="4"/>
        <v>Rion</v>
      </c>
      <c r="AC7" s="117" t="str">
        <f>+Z7&amp;" "&amp;AA7&amp;" "&amp;T7&amp;"-"&amp;U7&amp;" "&amp;H6</f>
        <v> 5/18 ● 1-3 ヴィヴァーレ</v>
      </c>
      <c r="AD7" s="14">
        <f>+L6</f>
        <v>0</v>
      </c>
      <c r="AE7" s="14">
        <f>+L7</f>
        <v>1</v>
      </c>
      <c r="AF7" s="14">
        <f>+J6</f>
        <v>1</v>
      </c>
      <c r="AG7" s="14">
        <f>+J7</f>
        <v>2</v>
      </c>
      <c r="AH7" s="121">
        <f t="shared" si="5"/>
        <v>40315</v>
      </c>
    </row>
    <row r="8" spans="1:34" ht="14.25" customHeight="1">
      <c r="A8" s="289"/>
      <c r="B8" s="328"/>
      <c r="C8" s="402"/>
      <c r="D8" s="297">
        <v>3</v>
      </c>
      <c r="E8" s="283">
        <v>0.5277777777777778</v>
      </c>
      <c r="F8" s="282">
        <v>0.5902777777777778</v>
      </c>
      <c r="G8" s="86" t="s">
        <v>17</v>
      </c>
      <c r="H8" s="316" t="str">
        <f>VLOOKUP(G8,'参加チーム'!$B$5:$G$73,IF($N$2=1,4,5),FALSE)</f>
        <v>Itatica</v>
      </c>
      <c r="I8" s="304">
        <f>IF(J8&lt;&gt;"",J8+J9,"")</f>
        <v>10</v>
      </c>
      <c r="J8" s="116">
        <v>4</v>
      </c>
      <c r="K8" s="396" t="s">
        <v>86</v>
      </c>
      <c r="L8" s="116">
        <v>2</v>
      </c>
      <c r="M8" s="304">
        <f>IF(L8&lt;&gt;"",L8+L9,"")</f>
        <v>3</v>
      </c>
      <c r="N8" s="86" t="s">
        <v>19</v>
      </c>
      <c r="O8" s="316" t="str">
        <f>VLOOKUP(N8,'参加チーム'!$B$5:$G$73,IF($N$2=1,4,5),FALSE)</f>
        <v>PIETRA</v>
      </c>
      <c r="P8" s="325" t="str">
        <f>+O8</f>
        <v>PIETRA</v>
      </c>
      <c r="Q8" s="323"/>
      <c r="S8" s="20" t="str">
        <f>+"前"&amp;G8&amp;N8</f>
        <v>前北Ａ北Ｆ</v>
      </c>
      <c r="T8" s="16">
        <f>+I8</f>
        <v>10</v>
      </c>
      <c r="U8" s="16">
        <f>+M8</f>
        <v>3</v>
      </c>
      <c r="V8" s="21">
        <f>+B4</f>
        <v>40315</v>
      </c>
      <c r="X8" s="117">
        <f t="shared" si="0"/>
        <v>5</v>
      </c>
      <c r="Y8" s="117">
        <f t="shared" si="1"/>
        <v>18</v>
      </c>
      <c r="Z8" s="117" t="str">
        <f t="shared" si="2"/>
        <v> 5/18</v>
      </c>
      <c r="AA8" s="117" t="str">
        <f t="shared" si="3"/>
        <v>○</v>
      </c>
      <c r="AB8" s="14" t="str">
        <f>IF(T8&lt;&gt;"",H8,"")</f>
        <v>Itatica</v>
      </c>
      <c r="AC8" s="117" t="str">
        <f>+Z8&amp;" "&amp;AA8&amp;" "&amp;T8&amp;"-"&amp;U8&amp;" "&amp;O8</f>
        <v> 5/18 ○ 10-3 PIETRA</v>
      </c>
      <c r="AD8" s="14">
        <f>+J8</f>
        <v>4</v>
      </c>
      <c r="AE8" s="14">
        <f>+J9</f>
        <v>6</v>
      </c>
      <c r="AF8" s="14">
        <f>+L8</f>
        <v>2</v>
      </c>
      <c r="AG8" s="14">
        <f>+L9</f>
        <v>1</v>
      </c>
      <c r="AH8" s="121">
        <f t="shared" si="5"/>
        <v>40315</v>
      </c>
    </row>
    <row r="9" spans="1:34" ht="15" customHeight="1" thickBot="1">
      <c r="A9" s="290"/>
      <c r="B9" s="329"/>
      <c r="C9" s="403"/>
      <c r="D9" s="298"/>
      <c r="E9" s="285"/>
      <c r="F9" s="305"/>
      <c r="G9" s="85" t="str">
        <f>LEFT(VLOOKUP(G8,'参加チーム'!$B$5:$G$73,6,FALSE),2)</f>
        <v>青森</v>
      </c>
      <c r="H9" s="320"/>
      <c r="I9" s="305"/>
      <c r="J9" s="125">
        <v>6</v>
      </c>
      <c r="K9" s="397"/>
      <c r="L9" s="125">
        <v>1</v>
      </c>
      <c r="M9" s="305"/>
      <c r="N9" s="85" t="str">
        <f>LEFT(VLOOKUP(N8,'参加チーム'!$B$5:$G$73,6,FALSE),2)</f>
        <v>秋田</v>
      </c>
      <c r="O9" s="320"/>
      <c r="P9" s="315"/>
      <c r="Q9" s="324"/>
      <c r="S9" s="22" t="str">
        <f>+"前"&amp;N8&amp;G8</f>
        <v>前北Ｆ北Ａ</v>
      </c>
      <c r="T9" s="23">
        <f>+M8</f>
        <v>3</v>
      </c>
      <c r="U9" s="23">
        <f>+I8</f>
        <v>10</v>
      </c>
      <c r="V9" s="24">
        <f>+B4</f>
        <v>40315</v>
      </c>
      <c r="X9" s="117">
        <f t="shared" si="0"/>
        <v>5</v>
      </c>
      <c r="Y9" s="117">
        <f t="shared" si="1"/>
        <v>18</v>
      </c>
      <c r="Z9" s="117" t="str">
        <f t="shared" si="2"/>
        <v> 5/18</v>
      </c>
      <c r="AA9" s="117" t="str">
        <f t="shared" si="3"/>
        <v>●</v>
      </c>
      <c r="AB9" s="14" t="str">
        <f t="shared" si="4"/>
        <v>PIETRA</v>
      </c>
      <c r="AC9" s="117" t="str">
        <f>+Z9&amp;" "&amp;AA9&amp;" "&amp;T9&amp;"-"&amp;U9&amp;" "&amp;H8</f>
        <v> 5/18 ● 3-10 Itatica</v>
      </c>
      <c r="AD9" s="14">
        <f>+L8</f>
        <v>2</v>
      </c>
      <c r="AE9" s="14">
        <f>+L9</f>
        <v>1</v>
      </c>
      <c r="AF9" s="14">
        <f>+J8</f>
        <v>4</v>
      </c>
      <c r="AG9" s="14">
        <f>+J9</f>
        <v>6</v>
      </c>
      <c r="AH9" s="121">
        <f t="shared" si="5"/>
        <v>40315</v>
      </c>
    </row>
    <row r="10" spans="1:34" ht="14.25" customHeight="1">
      <c r="A10" s="288">
        <v>2</v>
      </c>
      <c r="B10" s="398">
        <v>40336</v>
      </c>
      <c r="C10" s="404" t="s">
        <v>57</v>
      </c>
      <c r="D10" s="308">
        <v>1</v>
      </c>
      <c r="E10" s="280">
        <v>0.3958333333333333</v>
      </c>
      <c r="F10" s="280">
        <v>0.4375</v>
      </c>
      <c r="G10" s="84" t="s">
        <v>16</v>
      </c>
      <c r="H10" s="318" t="str">
        <f>VLOOKUP(G10,'参加チーム'!$B$5:$G$73,IF($N$2=1,4,5),FALSE)</f>
        <v>ステラミーゴ</v>
      </c>
      <c r="I10" s="300">
        <f>IF(J10&lt;&gt;"",J10+J11,"")</f>
        <v>1</v>
      </c>
      <c r="J10" s="123">
        <v>1</v>
      </c>
      <c r="K10" s="301" t="s">
        <v>86</v>
      </c>
      <c r="L10" s="123">
        <v>1</v>
      </c>
      <c r="M10" s="300">
        <f>IF(L10&lt;&gt;"",L10+L11,"")</f>
        <v>2</v>
      </c>
      <c r="N10" s="84" t="s">
        <v>20</v>
      </c>
      <c r="O10" s="318" t="str">
        <f>VLOOKUP(N10,'参加チーム'!$B$5:$G$73,IF($N$2=1,4,5),FALSE)</f>
        <v>ヴィヴァーレ</v>
      </c>
      <c r="P10" s="326" t="str">
        <f>+O10</f>
        <v>ヴィヴァーレ</v>
      </c>
      <c r="Q10" s="322" t="str">
        <f>+O10</f>
        <v>ヴィヴァーレ</v>
      </c>
      <c r="S10" s="17" t="str">
        <f>+"前"&amp;G10&amp;N10</f>
        <v>前北Ｄ北Ｂ</v>
      </c>
      <c r="T10" s="18">
        <f>IF(I10&lt;&gt;"",I10,"")</f>
        <v>1</v>
      </c>
      <c r="U10" s="18">
        <f>IF(M10&lt;&gt;"",M10,"")</f>
        <v>2</v>
      </c>
      <c r="V10" s="19">
        <f>+B10</f>
        <v>40336</v>
      </c>
      <c r="X10" s="117">
        <f t="shared" si="0"/>
        <v>6</v>
      </c>
      <c r="Y10" s="117">
        <f t="shared" si="1"/>
        <v>8</v>
      </c>
      <c r="Z10" s="117" t="str">
        <f t="shared" si="2"/>
        <v> 6/ 8</v>
      </c>
      <c r="AA10" s="117" t="str">
        <f t="shared" si="3"/>
        <v>●</v>
      </c>
      <c r="AB10" s="14" t="str">
        <f>IF(T10&lt;&gt;"",H10,"")</f>
        <v>ステラミーゴ</v>
      </c>
      <c r="AC10" s="117" t="str">
        <f>+Z10&amp;" "&amp;AA10&amp;" "&amp;T10&amp;"-"&amp;U10&amp;" "&amp;O10</f>
        <v> 6/ 8 ● 1-2 ヴィヴァーレ</v>
      </c>
      <c r="AD10" s="14">
        <f>+J10</f>
        <v>1</v>
      </c>
      <c r="AE10" s="14">
        <f>+J11</f>
        <v>0</v>
      </c>
      <c r="AF10" s="14">
        <f>+L10</f>
        <v>1</v>
      </c>
      <c r="AG10" s="14">
        <f>+L11</f>
        <v>1</v>
      </c>
      <c r="AH10" s="121">
        <f t="shared" si="5"/>
        <v>40336</v>
      </c>
    </row>
    <row r="11" spans="1:34" ht="14.25" customHeight="1">
      <c r="A11" s="289"/>
      <c r="B11" s="328"/>
      <c r="C11" s="405"/>
      <c r="D11" s="309"/>
      <c r="E11" s="281"/>
      <c r="F11" s="281"/>
      <c r="G11" s="85" t="str">
        <f>LEFT(VLOOKUP(G10,'参加チーム'!$B$5:$G$73,6,FALSE),2)</f>
        <v>岩手</v>
      </c>
      <c r="H11" s="317"/>
      <c r="I11" s="281"/>
      <c r="J11" s="116">
        <v>0</v>
      </c>
      <c r="K11" s="302"/>
      <c r="L11" s="116">
        <v>1</v>
      </c>
      <c r="M11" s="281"/>
      <c r="N11" s="85" t="str">
        <f>LEFT(VLOOKUP(N10,'参加チーム'!$B$5:$G$73,6,FALSE),2)</f>
        <v>岩手</v>
      </c>
      <c r="O11" s="317"/>
      <c r="P11" s="307"/>
      <c r="Q11" s="323"/>
      <c r="S11" s="20" t="str">
        <f>+"前"&amp;N10&amp;G10</f>
        <v>前北Ｂ北Ｄ</v>
      </c>
      <c r="T11" s="16">
        <f>IF(M10&lt;&gt;"",M10,"")</f>
        <v>2</v>
      </c>
      <c r="U11" s="16">
        <f>IF(I10&lt;&gt;"",I10,"")</f>
        <v>1</v>
      </c>
      <c r="V11" s="21">
        <f>+B10</f>
        <v>40336</v>
      </c>
      <c r="X11" s="117">
        <f t="shared" si="0"/>
        <v>6</v>
      </c>
      <c r="Y11" s="117">
        <f t="shared" si="1"/>
        <v>8</v>
      </c>
      <c r="Z11" s="117" t="str">
        <f t="shared" si="2"/>
        <v> 6/ 8</v>
      </c>
      <c r="AA11" s="117" t="str">
        <f t="shared" si="3"/>
        <v>○</v>
      </c>
      <c r="AB11" s="14" t="str">
        <f t="shared" si="4"/>
        <v>ヴィヴァーレ</v>
      </c>
      <c r="AC11" s="117" t="str">
        <f>+Z11&amp;" "&amp;AA11&amp;" "&amp;T11&amp;"-"&amp;U11&amp;" "&amp;H10</f>
        <v> 6/ 8 ○ 2-1 ステラミーゴ</v>
      </c>
      <c r="AD11" s="14">
        <f>+L10</f>
        <v>1</v>
      </c>
      <c r="AE11" s="14">
        <f>+L11</f>
        <v>1</v>
      </c>
      <c r="AF11" s="14">
        <f>+J10</f>
        <v>1</v>
      </c>
      <c r="AG11" s="14">
        <f>+J11</f>
        <v>0</v>
      </c>
      <c r="AH11" s="121">
        <f t="shared" si="5"/>
        <v>40336</v>
      </c>
    </row>
    <row r="12" spans="1:34" ht="14.25" customHeight="1">
      <c r="A12" s="289"/>
      <c r="B12" s="328"/>
      <c r="C12" s="405"/>
      <c r="D12" s="297">
        <v>2</v>
      </c>
      <c r="E12" s="282">
        <v>0.45138888888888895</v>
      </c>
      <c r="F12" s="282">
        <v>0.513888888888889</v>
      </c>
      <c r="G12" s="86" t="s">
        <v>19</v>
      </c>
      <c r="H12" s="316" t="str">
        <f>VLOOKUP(G12,'参加チーム'!$B$5:$G$73,IF($N$2=1,4,5),FALSE)</f>
        <v>PIETRA</v>
      </c>
      <c r="I12" s="304">
        <f>IF(J12&lt;&gt;"",J12+J13,"")</f>
        <v>2</v>
      </c>
      <c r="J12" s="116">
        <v>0</v>
      </c>
      <c r="K12" s="303" t="s">
        <v>86</v>
      </c>
      <c r="L12" s="116">
        <v>3</v>
      </c>
      <c r="M12" s="304">
        <f>IF(L12&lt;&gt;"",L12+L13,"")</f>
        <v>7</v>
      </c>
      <c r="N12" s="86" t="s">
        <v>21</v>
      </c>
      <c r="O12" s="316" t="str">
        <f>VLOOKUP(N12,'参加チーム'!$B$5:$G$73,IF($N$2=1,4,5),FALSE)</f>
        <v>Carioca</v>
      </c>
      <c r="P12" s="325" t="str">
        <f>+O12</f>
        <v>Carioca</v>
      </c>
      <c r="Q12" s="323"/>
      <c r="S12" s="20" t="str">
        <f>+"前"&amp;G12&amp;N12</f>
        <v>前北Ｆ北Ｃ</v>
      </c>
      <c r="T12" s="16">
        <f>IF(I12&lt;&gt;"",I12,"")</f>
        <v>2</v>
      </c>
      <c r="U12" s="16">
        <f>IF(M12&lt;&gt;"",M12,"")</f>
        <v>7</v>
      </c>
      <c r="V12" s="21">
        <f>+B10</f>
        <v>40336</v>
      </c>
      <c r="X12" s="117">
        <f t="shared" si="0"/>
        <v>6</v>
      </c>
      <c r="Y12" s="117">
        <f t="shared" si="1"/>
        <v>8</v>
      </c>
      <c r="Z12" s="117" t="str">
        <f t="shared" si="2"/>
        <v> 6/ 8</v>
      </c>
      <c r="AA12" s="117" t="str">
        <f t="shared" si="3"/>
        <v>●</v>
      </c>
      <c r="AB12" s="14" t="str">
        <f>IF(T12&lt;&gt;"",H12,"")</f>
        <v>PIETRA</v>
      </c>
      <c r="AC12" s="117" t="str">
        <f>+Z12&amp;" "&amp;AA12&amp;" "&amp;T12&amp;"-"&amp;U12&amp;" "&amp;O12</f>
        <v> 6/ 8 ● 2-7 Carioca</v>
      </c>
      <c r="AD12" s="14">
        <f>+J12</f>
        <v>0</v>
      </c>
      <c r="AE12" s="14">
        <f>+J13</f>
        <v>2</v>
      </c>
      <c r="AF12" s="14">
        <f>+L12</f>
        <v>3</v>
      </c>
      <c r="AG12" s="14">
        <f>+L13</f>
        <v>4</v>
      </c>
      <c r="AH12" s="121">
        <f t="shared" si="5"/>
        <v>40336</v>
      </c>
    </row>
    <row r="13" spans="1:34" ht="14.25">
      <c r="A13" s="289"/>
      <c r="B13" s="328"/>
      <c r="C13" s="406" t="s">
        <v>171</v>
      </c>
      <c r="D13" s="309"/>
      <c r="E13" s="281"/>
      <c r="F13" s="281"/>
      <c r="G13" s="85" t="str">
        <f>LEFT(VLOOKUP(G12,'参加チーム'!$B$5:$G$73,6,FALSE),2)</f>
        <v>秋田</v>
      </c>
      <c r="H13" s="317"/>
      <c r="I13" s="281"/>
      <c r="J13" s="116">
        <v>2</v>
      </c>
      <c r="K13" s="302"/>
      <c r="L13" s="116">
        <v>4</v>
      </c>
      <c r="M13" s="281"/>
      <c r="N13" s="85" t="str">
        <f>LEFT(VLOOKUP(N12,'参加チーム'!$B$5:$G$73,6,FALSE),2)</f>
        <v>岩手</v>
      </c>
      <c r="O13" s="317"/>
      <c r="P13" s="307"/>
      <c r="Q13" s="323"/>
      <c r="S13" s="20" t="str">
        <f>+"前"&amp;N12&amp;G12</f>
        <v>前北Ｃ北Ｆ</v>
      </c>
      <c r="T13" s="16">
        <f>IF(M12&lt;&gt;"",M12,"")</f>
        <v>7</v>
      </c>
      <c r="U13" s="16">
        <f>IF(I12&lt;&gt;"",I12,"")</f>
        <v>2</v>
      </c>
      <c r="V13" s="21">
        <f>+B10</f>
        <v>40336</v>
      </c>
      <c r="X13" s="117">
        <f t="shared" si="0"/>
        <v>6</v>
      </c>
      <c r="Y13" s="117">
        <f t="shared" si="1"/>
        <v>8</v>
      </c>
      <c r="Z13" s="117" t="str">
        <f t="shared" si="2"/>
        <v> 6/ 8</v>
      </c>
      <c r="AA13" s="117" t="str">
        <f t="shared" si="3"/>
        <v>○</v>
      </c>
      <c r="AB13" s="14" t="str">
        <f t="shared" si="4"/>
        <v>Carioca</v>
      </c>
      <c r="AC13" s="117" t="str">
        <f>+Z13&amp;" "&amp;AA13&amp;" "&amp;T13&amp;"-"&amp;U13&amp;" "&amp;H12</f>
        <v> 6/ 8 ○ 7-2 PIETRA</v>
      </c>
      <c r="AD13" s="14">
        <f>+L12</f>
        <v>3</v>
      </c>
      <c r="AE13" s="14">
        <f>+L13</f>
        <v>4</v>
      </c>
      <c r="AF13" s="14">
        <f>+J12</f>
        <v>0</v>
      </c>
      <c r="AG13" s="14">
        <f>+J13</f>
        <v>2</v>
      </c>
      <c r="AH13" s="121">
        <f t="shared" si="5"/>
        <v>40336</v>
      </c>
    </row>
    <row r="14" spans="1:34" ht="14.25">
      <c r="A14" s="289"/>
      <c r="B14" s="328"/>
      <c r="C14" s="406"/>
      <c r="D14" s="297">
        <v>3</v>
      </c>
      <c r="E14" s="283">
        <v>0.5277777777777778</v>
      </c>
      <c r="F14" s="282">
        <v>0.5902777777777778</v>
      </c>
      <c r="G14" s="86" t="s">
        <v>18</v>
      </c>
      <c r="H14" s="316" t="str">
        <f>VLOOKUP(G14,'参加チーム'!$B$5:$G$73,IF($N$2=1,4,5),FALSE)</f>
        <v>Rion</v>
      </c>
      <c r="I14" s="304">
        <f>IF(J14&lt;&gt;"",J14+J15,"")</f>
        <v>2</v>
      </c>
      <c r="J14" s="116">
        <v>2</v>
      </c>
      <c r="K14" s="396" t="s">
        <v>86</v>
      </c>
      <c r="L14" s="116">
        <v>5</v>
      </c>
      <c r="M14" s="304">
        <f>IF(L14&lt;&gt;"",L14+L15,"")</f>
        <v>14</v>
      </c>
      <c r="N14" s="86" t="s">
        <v>17</v>
      </c>
      <c r="O14" s="316" t="str">
        <f>VLOOKUP(N14,'参加チーム'!$B$5:$G$73,IF($N$2=1,4,5),FALSE)</f>
        <v>Itatica</v>
      </c>
      <c r="P14" s="325" t="str">
        <f>+O14</f>
        <v>Itatica</v>
      </c>
      <c r="Q14" s="323"/>
      <c r="S14" s="20" t="str">
        <f>+"前"&amp;G14&amp;N14</f>
        <v>前北Ｅ北Ａ</v>
      </c>
      <c r="T14" s="16">
        <f>IF(I14&lt;&gt;"",I14,"")</f>
        <v>2</v>
      </c>
      <c r="U14" s="16">
        <f>IF(M14&lt;&gt;"",M14,"")</f>
        <v>14</v>
      </c>
      <c r="V14" s="21">
        <f>+B10</f>
        <v>40336</v>
      </c>
      <c r="X14" s="117">
        <f t="shared" si="0"/>
        <v>6</v>
      </c>
      <c r="Y14" s="117">
        <f t="shared" si="1"/>
        <v>8</v>
      </c>
      <c r="Z14" s="117" t="str">
        <f t="shared" si="2"/>
        <v> 6/ 8</v>
      </c>
      <c r="AA14" s="117" t="str">
        <f t="shared" si="3"/>
        <v>●</v>
      </c>
      <c r="AB14" s="14" t="str">
        <f>IF(T14&lt;&gt;"",H14,"")</f>
        <v>Rion</v>
      </c>
      <c r="AC14" s="117" t="str">
        <f>+Z14&amp;" "&amp;AA14&amp;" "&amp;T14&amp;"-"&amp;U14&amp;" "&amp;O14</f>
        <v> 6/ 8 ● 2-14 Itatica</v>
      </c>
      <c r="AD14" s="14">
        <f>+J14</f>
        <v>2</v>
      </c>
      <c r="AE14" s="14">
        <f>+J15</f>
        <v>0</v>
      </c>
      <c r="AF14" s="14">
        <f>+L14</f>
        <v>5</v>
      </c>
      <c r="AG14" s="14">
        <f>+L15</f>
        <v>9</v>
      </c>
      <c r="AH14" s="121">
        <f t="shared" si="5"/>
        <v>40336</v>
      </c>
    </row>
    <row r="15" spans="1:34" ht="15" thickBot="1">
      <c r="A15" s="290"/>
      <c r="B15" s="329"/>
      <c r="C15" s="407"/>
      <c r="D15" s="298"/>
      <c r="E15" s="285"/>
      <c r="F15" s="305"/>
      <c r="G15" s="85" t="str">
        <f>LEFT(VLOOKUP(G14,'参加チーム'!$B$5:$G$73,6,FALSE),2)</f>
        <v>秋田</v>
      </c>
      <c r="H15" s="320"/>
      <c r="I15" s="305"/>
      <c r="J15" s="125">
        <v>0</v>
      </c>
      <c r="K15" s="397"/>
      <c r="L15" s="125">
        <v>9</v>
      </c>
      <c r="M15" s="305"/>
      <c r="N15" s="85" t="str">
        <f>LEFT(VLOOKUP(N14,'参加チーム'!$B$5:$G$73,6,FALSE),2)</f>
        <v>青森</v>
      </c>
      <c r="O15" s="320"/>
      <c r="P15" s="315"/>
      <c r="Q15" s="324"/>
      <c r="S15" s="22" t="str">
        <f>+"前"&amp;N14&amp;G14</f>
        <v>前北Ａ北Ｅ</v>
      </c>
      <c r="T15" s="23">
        <f>IF(M14&lt;&gt;"",M14,"")</f>
        <v>14</v>
      </c>
      <c r="U15" s="23">
        <f>IF(I14&lt;&gt;"",I14,"")</f>
        <v>2</v>
      </c>
      <c r="V15" s="24">
        <f>+B10</f>
        <v>40336</v>
      </c>
      <c r="X15" s="117">
        <f t="shared" si="0"/>
        <v>6</v>
      </c>
      <c r="Y15" s="117">
        <f t="shared" si="1"/>
        <v>8</v>
      </c>
      <c r="Z15" s="117" t="str">
        <f t="shared" si="2"/>
        <v> 6/ 8</v>
      </c>
      <c r="AA15" s="117" t="str">
        <f t="shared" si="3"/>
        <v>○</v>
      </c>
      <c r="AB15" s="14" t="str">
        <f t="shared" si="4"/>
        <v>Itatica</v>
      </c>
      <c r="AC15" s="117" t="str">
        <f>+Z15&amp;" "&amp;AA15&amp;" "&amp;T15&amp;"-"&amp;U15&amp;" "&amp;H14</f>
        <v> 6/ 8 ○ 14-2 Rion</v>
      </c>
      <c r="AD15" s="14">
        <f>+L14</f>
        <v>5</v>
      </c>
      <c r="AE15" s="14">
        <f>+L15</f>
        <v>9</v>
      </c>
      <c r="AF15" s="14">
        <f>+J14</f>
        <v>2</v>
      </c>
      <c r="AG15" s="14">
        <f>+J15</f>
        <v>0</v>
      </c>
      <c r="AH15" s="121">
        <f t="shared" si="5"/>
        <v>40336</v>
      </c>
    </row>
    <row r="16" spans="1:34" ht="14.25" customHeight="1">
      <c r="A16" s="288">
        <v>3</v>
      </c>
      <c r="B16" s="398">
        <v>40343</v>
      </c>
      <c r="C16" s="404" t="s">
        <v>58</v>
      </c>
      <c r="D16" s="308">
        <v>1</v>
      </c>
      <c r="E16" s="280">
        <v>0.3958333333333333</v>
      </c>
      <c r="F16" s="280">
        <v>0.4375</v>
      </c>
      <c r="G16" s="84" t="s">
        <v>19</v>
      </c>
      <c r="H16" s="318" t="str">
        <f>VLOOKUP(G16,'参加チーム'!$B$5:$G$73,IF($N$2=1,4,5),FALSE)</f>
        <v>PIETRA</v>
      </c>
      <c r="I16" s="300">
        <f>IF(J16&lt;&gt;"",J16+J17,"")</f>
        <v>3</v>
      </c>
      <c r="J16" s="123">
        <v>1</v>
      </c>
      <c r="K16" s="301" t="s">
        <v>86</v>
      </c>
      <c r="L16" s="123">
        <v>2</v>
      </c>
      <c r="M16" s="300">
        <f>IF(L16&lt;&gt;"",L16+L17,"")</f>
        <v>4</v>
      </c>
      <c r="N16" s="84" t="s">
        <v>18</v>
      </c>
      <c r="O16" s="318" t="str">
        <f>VLOOKUP(N16,'参加チーム'!$B$5:$G$73,IF($N$2=1,4,5),FALSE)</f>
        <v>Rion</v>
      </c>
      <c r="P16" s="326" t="str">
        <f>+O16</f>
        <v>Rion</v>
      </c>
      <c r="Q16" s="322" t="str">
        <f>+O16</f>
        <v>Rion</v>
      </c>
      <c r="S16" s="17" t="str">
        <f>+"前"&amp;G16&amp;N16</f>
        <v>前北Ｆ北Ｅ</v>
      </c>
      <c r="T16" s="18">
        <f>IF(I16&lt;&gt;"",I16,"")</f>
        <v>3</v>
      </c>
      <c r="U16" s="18">
        <f>IF(M16&lt;&gt;"",M16,"")</f>
        <v>4</v>
      </c>
      <c r="V16" s="19">
        <f>+B16</f>
        <v>40343</v>
      </c>
      <c r="X16" s="117">
        <f t="shared" si="0"/>
        <v>6</v>
      </c>
      <c r="Y16" s="117">
        <f t="shared" si="1"/>
        <v>15</v>
      </c>
      <c r="Z16" s="117" t="str">
        <f t="shared" si="2"/>
        <v> 6/15</v>
      </c>
      <c r="AA16" s="117" t="str">
        <f t="shared" si="3"/>
        <v>●</v>
      </c>
      <c r="AB16" s="14" t="str">
        <f>IF(T16&lt;&gt;"",H16,"")</f>
        <v>PIETRA</v>
      </c>
      <c r="AC16" s="117" t="str">
        <f>+Z16&amp;" "&amp;AA16&amp;" "&amp;T16&amp;"-"&amp;U16&amp;" "&amp;O16</f>
        <v> 6/15 ● 3-4 Rion</v>
      </c>
      <c r="AD16" s="14">
        <f>+J16</f>
        <v>1</v>
      </c>
      <c r="AE16" s="14">
        <f>+J17</f>
        <v>2</v>
      </c>
      <c r="AF16" s="14">
        <f>+L16</f>
        <v>2</v>
      </c>
      <c r="AG16" s="14">
        <f>+L17</f>
        <v>2</v>
      </c>
      <c r="AH16" s="121">
        <f t="shared" si="5"/>
        <v>40343</v>
      </c>
    </row>
    <row r="17" spans="1:34" ht="14.25" customHeight="1">
      <c r="A17" s="289"/>
      <c r="B17" s="328"/>
      <c r="C17" s="405"/>
      <c r="D17" s="309"/>
      <c r="E17" s="281"/>
      <c r="F17" s="281"/>
      <c r="G17" s="85" t="str">
        <f>LEFT(VLOOKUP(G16,'参加チーム'!$B$5:$G$73,6,FALSE),2)</f>
        <v>秋田</v>
      </c>
      <c r="H17" s="317"/>
      <c r="I17" s="281"/>
      <c r="J17" s="116">
        <v>2</v>
      </c>
      <c r="K17" s="302"/>
      <c r="L17" s="116">
        <v>2</v>
      </c>
      <c r="M17" s="281"/>
      <c r="N17" s="85" t="str">
        <f>LEFT(VLOOKUP(N16,'参加チーム'!$B$5:$G$73,6,FALSE),2)</f>
        <v>秋田</v>
      </c>
      <c r="O17" s="317"/>
      <c r="P17" s="307"/>
      <c r="Q17" s="323"/>
      <c r="S17" s="20" t="str">
        <f>+"前"&amp;N16&amp;G16</f>
        <v>前北Ｅ北Ｆ</v>
      </c>
      <c r="T17" s="16">
        <f>IF(M16&lt;&gt;"",M16,"")</f>
        <v>4</v>
      </c>
      <c r="U17" s="16">
        <f>IF(I16&lt;&gt;"",I16,"")</f>
        <v>3</v>
      </c>
      <c r="V17" s="21">
        <f>+B16</f>
        <v>40343</v>
      </c>
      <c r="X17" s="117">
        <f t="shared" si="0"/>
        <v>6</v>
      </c>
      <c r="Y17" s="117">
        <f t="shared" si="1"/>
        <v>15</v>
      </c>
      <c r="Z17" s="117" t="str">
        <f t="shared" si="2"/>
        <v> 6/15</v>
      </c>
      <c r="AA17" s="117" t="str">
        <f t="shared" si="3"/>
        <v>○</v>
      </c>
      <c r="AB17" s="14" t="str">
        <f t="shared" si="4"/>
        <v>Rion</v>
      </c>
      <c r="AC17" s="117" t="str">
        <f>+Z17&amp;" "&amp;AA17&amp;" "&amp;T17&amp;"-"&amp;U17&amp;" "&amp;H16</f>
        <v> 6/15 ○ 4-3 PIETRA</v>
      </c>
      <c r="AD17" s="14">
        <f>+L16</f>
        <v>2</v>
      </c>
      <c r="AE17" s="14">
        <f>+L17</f>
        <v>2</v>
      </c>
      <c r="AF17" s="14">
        <f>+J16</f>
        <v>1</v>
      </c>
      <c r="AG17" s="14">
        <f>+J17</f>
        <v>2</v>
      </c>
      <c r="AH17" s="121">
        <f t="shared" si="5"/>
        <v>40343</v>
      </c>
    </row>
    <row r="18" spans="1:34" ht="14.25" customHeight="1">
      <c r="A18" s="289"/>
      <c r="B18" s="328"/>
      <c r="C18" s="405"/>
      <c r="D18" s="297">
        <v>2</v>
      </c>
      <c r="E18" s="282">
        <v>0.45138888888888895</v>
      </c>
      <c r="F18" s="282">
        <v>0.513888888888889</v>
      </c>
      <c r="G18" s="86" t="s">
        <v>17</v>
      </c>
      <c r="H18" s="316" t="str">
        <f>VLOOKUP(G18,'参加チーム'!$B$5:$G$73,IF($N$2=1,4,5),FALSE)</f>
        <v>Itatica</v>
      </c>
      <c r="I18" s="304">
        <f>IF(J18&lt;&gt;"",J18+J19,"")</f>
        <v>12</v>
      </c>
      <c r="J18" s="116">
        <v>6</v>
      </c>
      <c r="K18" s="303" t="s">
        <v>86</v>
      </c>
      <c r="L18" s="116">
        <v>0</v>
      </c>
      <c r="M18" s="304">
        <f>IF(L18&lt;&gt;"",L18+L19,"")</f>
        <v>2</v>
      </c>
      <c r="N18" s="86" t="s">
        <v>16</v>
      </c>
      <c r="O18" s="316" t="str">
        <f>VLOOKUP(N18,'参加チーム'!$B$5:$G$73,IF($N$2=1,4,5),FALSE)</f>
        <v>ステラミーゴ</v>
      </c>
      <c r="P18" s="325" t="str">
        <f>+O18</f>
        <v>ステラミーゴ</v>
      </c>
      <c r="Q18" s="323"/>
      <c r="S18" s="20" t="str">
        <f>+"前"&amp;G18&amp;N18</f>
        <v>前北Ａ北Ｄ</v>
      </c>
      <c r="T18" s="16">
        <f>IF(I18&lt;&gt;"",I18,"")</f>
        <v>12</v>
      </c>
      <c r="U18" s="16">
        <f>IF(M18&lt;&gt;"",M18,"")</f>
        <v>2</v>
      </c>
      <c r="V18" s="21">
        <f>+B16</f>
        <v>40343</v>
      </c>
      <c r="X18" s="117">
        <f t="shared" si="0"/>
        <v>6</v>
      </c>
      <c r="Y18" s="117">
        <f t="shared" si="1"/>
        <v>15</v>
      </c>
      <c r="Z18" s="117" t="str">
        <f t="shared" si="2"/>
        <v> 6/15</v>
      </c>
      <c r="AA18" s="117" t="str">
        <f t="shared" si="3"/>
        <v>○</v>
      </c>
      <c r="AB18" s="14" t="str">
        <f>IF(T18&lt;&gt;"",H18,"")</f>
        <v>Itatica</v>
      </c>
      <c r="AC18" s="117" t="str">
        <f>+Z18&amp;" "&amp;AA18&amp;" "&amp;T18&amp;"-"&amp;U18&amp;" "&amp;O18</f>
        <v> 6/15 ○ 12-2 ステラミーゴ</v>
      </c>
      <c r="AD18" s="14">
        <f>+J18</f>
        <v>6</v>
      </c>
      <c r="AE18" s="14">
        <f>+J19</f>
        <v>6</v>
      </c>
      <c r="AF18" s="14">
        <f>+L18</f>
        <v>0</v>
      </c>
      <c r="AG18" s="14">
        <f>+L19</f>
        <v>2</v>
      </c>
      <c r="AH18" s="121">
        <f t="shared" si="5"/>
        <v>40343</v>
      </c>
    </row>
    <row r="19" spans="1:34" ht="14.25" customHeight="1">
      <c r="A19" s="289"/>
      <c r="B19" s="328"/>
      <c r="C19" s="406" t="s">
        <v>142</v>
      </c>
      <c r="D19" s="309"/>
      <c r="E19" s="281"/>
      <c r="F19" s="281"/>
      <c r="G19" s="85" t="str">
        <f>LEFT(VLOOKUP(G18,'参加チーム'!$B$5:$G$73,6,FALSE),2)</f>
        <v>青森</v>
      </c>
      <c r="H19" s="317"/>
      <c r="I19" s="281"/>
      <c r="J19" s="116">
        <v>6</v>
      </c>
      <c r="K19" s="302"/>
      <c r="L19" s="116">
        <v>2</v>
      </c>
      <c r="M19" s="281"/>
      <c r="N19" s="85" t="str">
        <f>LEFT(VLOOKUP(N18,'参加チーム'!$B$5:$G$73,6,FALSE),2)</f>
        <v>岩手</v>
      </c>
      <c r="O19" s="317"/>
      <c r="P19" s="307"/>
      <c r="Q19" s="323"/>
      <c r="S19" s="20" t="str">
        <f>+"前"&amp;N18&amp;G18</f>
        <v>前北Ｄ北Ａ</v>
      </c>
      <c r="T19" s="16">
        <f>IF(M18&lt;&gt;"",M18,"")</f>
        <v>2</v>
      </c>
      <c r="U19" s="16">
        <f>IF(I18&lt;&gt;"",I18,"")</f>
        <v>12</v>
      </c>
      <c r="V19" s="21">
        <f>+B16</f>
        <v>40343</v>
      </c>
      <c r="X19" s="117">
        <f t="shared" si="0"/>
        <v>6</v>
      </c>
      <c r="Y19" s="117">
        <f t="shared" si="1"/>
        <v>15</v>
      </c>
      <c r="Z19" s="117" t="str">
        <f t="shared" si="2"/>
        <v> 6/15</v>
      </c>
      <c r="AA19" s="117" t="str">
        <f t="shared" si="3"/>
        <v>●</v>
      </c>
      <c r="AB19" s="14" t="str">
        <f t="shared" si="4"/>
        <v>ステラミーゴ</v>
      </c>
      <c r="AC19" s="117" t="str">
        <f>+Z19&amp;" "&amp;AA19&amp;" "&amp;T19&amp;"-"&amp;U19&amp;" "&amp;H18</f>
        <v> 6/15 ● 2-12 Itatica</v>
      </c>
      <c r="AD19" s="14">
        <f>+L18</f>
        <v>0</v>
      </c>
      <c r="AE19" s="14">
        <f>+L19</f>
        <v>2</v>
      </c>
      <c r="AF19" s="14">
        <f>+J18</f>
        <v>6</v>
      </c>
      <c r="AG19" s="14">
        <f>+J19</f>
        <v>6</v>
      </c>
      <c r="AH19" s="121">
        <f t="shared" si="5"/>
        <v>40343</v>
      </c>
    </row>
    <row r="20" spans="1:34" ht="14.25" customHeight="1">
      <c r="A20" s="289"/>
      <c r="B20" s="328"/>
      <c r="C20" s="406"/>
      <c r="D20" s="297">
        <v>3</v>
      </c>
      <c r="E20" s="283">
        <v>0.5277777777777778</v>
      </c>
      <c r="F20" s="282">
        <v>0.5902777777777778</v>
      </c>
      <c r="G20" s="86" t="s">
        <v>21</v>
      </c>
      <c r="H20" s="316" t="str">
        <f>VLOOKUP(G20,'参加チーム'!$B$5:$G$73,IF($N$2=1,4,5),FALSE)</f>
        <v>Carioca</v>
      </c>
      <c r="I20" s="304">
        <f>IF(J20&lt;&gt;"",J20+J21,"")</f>
        <v>8</v>
      </c>
      <c r="J20" s="116">
        <v>2</v>
      </c>
      <c r="K20" s="396" t="s">
        <v>86</v>
      </c>
      <c r="L20" s="116">
        <v>0</v>
      </c>
      <c r="M20" s="304">
        <f>IF(L20&lt;&gt;"",L20+L21,"")</f>
        <v>5</v>
      </c>
      <c r="N20" s="86" t="s">
        <v>20</v>
      </c>
      <c r="O20" s="316" t="str">
        <f>VLOOKUP(N20,'参加チーム'!$B$5:$G$73,IF($N$2=1,4,5),FALSE)</f>
        <v>ヴィヴァーレ</v>
      </c>
      <c r="P20" s="325" t="str">
        <f>+O20</f>
        <v>ヴィヴァーレ</v>
      </c>
      <c r="Q20" s="323"/>
      <c r="S20" s="20" t="str">
        <f>+"前"&amp;G20&amp;N20</f>
        <v>前北Ｃ北Ｂ</v>
      </c>
      <c r="T20" s="16">
        <f>IF(I20&lt;&gt;"",I20,"")</f>
        <v>8</v>
      </c>
      <c r="U20" s="16">
        <f>IF(M20&lt;&gt;"",M20,"")</f>
        <v>5</v>
      </c>
      <c r="V20" s="21">
        <f>+B16</f>
        <v>40343</v>
      </c>
      <c r="X20" s="117">
        <f t="shared" si="0"/>
        <v>6</v>
      </c>
      <c r="Y20" s="117">
        <f t="shared" si="1"/>
        <v>15</v>
      </c>
      <c r="Z20" s="117" t="str">
        <f t="shared" si="2"/>
        <v> 6/15</v>
      </c>
      <c r="AA20" s="117" t="str">
        <f t="shared" si="3"/>
        <v>○</v>
      </c>
      <c r="AB20" s="14" t="str">
        <f>IF(T20&lt;&gt;"",H20,"")</f>
        <v>Carioca</v>
      </c>
      <c r="AC20" s="117" t="str">
        <f>+Z20&amp;" "&amp;AA20&amp;" "&amp;T20&amp;"-"&amp;U20&amp;" "&amp;O20</f>
        <v> 6/15 ○ 8-5 ヴィヴァーレ</v>
      </c>
      <c r="AD20" s="14">
        <f>+J20</f>
        <v>2</v>
      </c>
      <c r="AE20" s="14">
        <f>+J21</f>
        <v>6</v>
      </c>
      <c r="AF20" s="14">
        <f>+L20</f>
        <v>0</v>
      </c>
      <c r="AG20" s="14">
        <f>+L21</f>
        <v>5</v>
      </c>
      <c r="AH20" s="121">
        <f t="shared" si="5"/>
        <v>40343</v>
      </c>
    </row>
    <row r="21" spans="1:34" ht="15" customHeight="1" thickBot="1">
      <c r="A21" s="290"/>
      <c r="B21" s="329"/>
      <c r="C21" s="407"/>
      <c r="D21" s="298"/>
      <c r="E21" s="285"/>
      <c r="F21" s="305"/>
      <c r="G21" s="85" t="str">
        <f>LEFT(VLOOKUP(G20,'参加チーム'!$B$5:$G$73,6,FALSE),2)</f>
        <v>岩手</v>
      </c>
      <c r="H21" s="320"/>
      <c r="I21" s="305"/>
      <c r="J21" s="125">
        <v>6</v>
      </c>
      <c r="K21" s="397"/>
      <c r="L21" s="125">
        <v>5</v>
      </c>
      <c r="M21" s="305"/>
      <c r="N21" s="85" t="str">
        <f>LEFT(VLOOKUP(N20,'参加チーム'!$B$5:$G$73,6,FALSE),2)</f>
        <v>岩手</v>
      </c>
      <c r="O21" s="320"/>
      <c r="P21" s="315"/>
      <c r="Q21" s="324"/>
      <c r="S21" s="22" t="str">
        <f>+"前"&amp;N20&amp;G20</f>
        <v>前北Ｂ北Ｃ</v>
      </c>
      <c r="T21" s="23">
        <f>IF(M20&lt;&gt;"",M20,"")</f>
        <v>5</v>
      </c>
      <c r="U21" s="23">
        <f>IF(I20&lt;&gt;"",I20,"")</f>
        <v>8</v>
      </c>
      <c r="V21" s="24">
        <f>+B16</f>
        <v>40343</v>
      </c>
      <c r="X21" s="117">
        <f t="shared" si="0"/>
        <v>6</v>
      </c>
      <c r="Y21" s="117">
        <f t="shared" si="1"/>
        <v>15</v>
      </c>
      <c r="Z21" s="117" t="str">
        <f t="shared" si="2"/>
        <v> 6/15</v>
      </c>
      <c r="AA21" s="117" t="str">
        <f t="shared" si="3"/>
        <v>●</v>
      </c>
      <c r="AB21" s="14" t="str">
        <f t="shared" si="4"/>
        <v>ヴィヴァーレ</v>
      </c>
      <c r="AC21" s="117" t="str">
        <f>+Z21&amp;" "&amp;AA21&amp;" "&amp;T21&amp;"-"&amp;U21&amp;" "&amp;H20</f>
        <v> 6/15 ● 5-8 Carioca</v>
      </c>
      <c r="AD21" s="14">
        <f>+L20</f>
        <v>0</v>
      </c>
      <c r="AE21" s="14">
        <f>+L21</f>
        <v>5</v>
      </c>
      <c r="AF21" s="14">
        <f>+J20</f>
        <v>2</v>
      </c>
      <c r="AG21" s="14">
        <f>+J21</f>
        <v>6</v>
      </c>
      <c r="AH21" s="121">
        <f t="shared" si="5"/>
        <v>40343</v>
      </c>
    </row>
    <row r="22" spans="1:34" ht="14.25" customHeight="1">
      <c r="A22" s="288">
        <v>4</v>
      </c>
      <c r="B22" s="398">
        <v>40357</v>
      </c>
      <c r="C22" s="404" t="s">
        <v>56</v>
      </c>
      <c r="D22" s="308">
        <v>1</v>
      </c>
      <c r="E22" s="280">
        <v>0.3958333333333333</v>
      </c>
      <c r="F22" s="280">
        <v>0.4375</v>
      </c>
      <c r="G22" s="84" t="s">
        <v>21</v>
      </c>
      <c r="H22" s="318" t="str">
        <f>VLOOKUP(G22,'参加チーム'!$B$5:$G$73,IF($N$2=1,4,5),FALSE)</f>
        <v>Carioca</v>
      </c>
      <c r="I22" s="300">
        <f>IF(J22&lt;&gt;"",J22+J23,"")</f>
        <v>4</v>
      </c>
      <c r="J22" s="123">
        <v>2</v>
      </c>
      <c r="K22" s="301" t="s">
        <v>86</v>
      </c>
      <c r="L22" s="123">
        <v>4</v>
      </c>
      <c r="M22" s="300">
        <f>IF(L22&lt;&gt;"",L22+L23,"")</f>
        <v>9</v>
      </c>
      <c r="N22" s="84" t="s">
        <v>17</v>
      </c>
      <c r="O22" s="318" t="str">
        <f>VLOOKUP(N22,'参加チーム'!$B$5:$G$73,IF($N$2=1,4,5),FALSE)</f>
        <v>Itatica</v>
      </c>
      <c r="P22" s="326" t="str">
        <f>+O22</f>
        <v>Itatica</v>
      </c>
      <c r="Q22" s="322" t="str">
        <f>+H22</f>
        <v>Carioca</v>
      </c>
      <c r="S22" s="17" t="str">
        <f>+"前"&amp;G22&amp;N22</f>
        <v>前北Ｃ北Ａ</v>
      </c>
      <c r="T22" s="18">
        <f>IF(I22&lt;&gt;"",I22,"")</f>
        <v>4</v>
      </c>
      <c r="U22" s="18">
        <f>IF(M22&lt;&gt;"",M22,"")</f>
        <v>9</v>
      </c>
      <c r="V22" s="19">
        <f>+B22</f>
        <v>40357</v>
      </c>
      <c r="X22" s="117">
        <f t="shared" si="0"/>
        <v>6</v>
      </c>
      <c r="Y22" s="117">
        <f t="shared" si="1"/>
        <v>29</v>
      </c>
      <c r="Z22" s="117" t="str">
        <f t="shared" si="2"/>
        <v> 6/29</v>
      </c>
      <c r="AA22" s="117" t="str">
        <f t="shared" si="3"/>
        <v>●</v>
      </c>
      <c r="AB22" s="14" t="str">
        <f>IF(T22&lt;&gt;"",H22,"")</f>
        <v>Carioca</v>
      </c>
      <c r="AC22" s="117" t="str">
        <f>+Z22&amp;" "&amp;AA22&amp;" "&amp;T22&amp;"-"&amp;U22&amp;" "&amp;O22</f>
        <v> 6/29 ● 4-9 Itatica</v>
      </c>
      <c r="AD22" s="14">
        <f>+J22</f>
        <v>2</v>
      </c>
      <c r="AE22" s="14">
        <f>+J23</f>
        <v>2</v>
      </c>
      <c r="AF22" s="14">
        <f>+L22</f>
        <v>4</v>
      </c>
      <c r="AG22" s="14">
        <f>+L23</f>
        <v>5</v>
      </c>
      <c r="AH22" s="121">
        <f t="shared" si="5"/>
        <v>40357</v>
      </c>
    </row>
    <row r="23" spans="1:34" ht="14.25" customHeight="1">
      <c r="A23" s="289"/>
      <c r="B23" s="328"/>
      <c r="C23" s="405"/>
      <c r="D23" s="309"/>
      <c r="E23" s="281"/>
      <c r="F23" s="281"/>
      <c r="G23" s="85" t="str">
        <f>LEFT(VLOOKUP(G22,'参加チーム'!$B$5:$G$73,6,FALSE),2)</f>
        <v>岩手</v>
      </c>
      <c r="H23" s="317"/>
      <c r="I23" s="281"/>
      <c r="J23" s="116">
        <v>2</v>
      </c>
      <c r="K23" s="302"/>
      <c r="L23" s="116">
        <v>5</v>
      </c>
      <c r="M23" s="281"/>
      <c r="N23" s="85" t="str">
        <f>LEFT(VLOOKUP(N22,'参加チーム'!$B$5:$G$73,6,FALSE),2)</f>
        <v>青森</v>
      </c>
      <c r="O23" s="317"/>
      <c r="P23" s="307"/>
      <c r="Q23" s="323"/>
      <c r="S23" s="20" t="str">
        <f>+"前"&amp;N22&amp;G22</f>
        <v>前北Ａ北Ｃ</v>
      </c>
      <c r="T23" s="16">
        <f>IF(M22&lt;&gt;"",M22,"")</f>
        <v>9</v>
      </c>
      <c r="U23" s="16">
        <f>IF(I22&lt;&gt;"",I22,"")</f>
        <v>4</v>
      </c>
      <c r="V23" s="21">
        <f>+B22</f>
        <v>40357</v>
      </c>
      <c r="X23" s="117">
        <f t="shared" si="0"/>
        <v>6</v>
      </c>
      <c r="Y23" s="117">
        <f t="shared" si="1"/>
        <v>29</v>
      </c>
      <c r="Z23" s="117" t="str">
        <f t="shared" si="2"/>
        <v> 6/29</v>
      </c>
      <c r="AA23" s="117" t="str">
        <f t="shared" si="3"/>
        <v>○</v>
      </c>
      <c r="AB23" s="14" t="str">
        <f t="shared" si="4"/>
        <v>Itatica</v>
      </c>
      <c r="AC23" s="117" t="str">
        <f>+Z23&amp;" "&amp;AA23&amp;" "&amp;T23&amp;"-"&amp;U23&amp;" "&amp;H22</f>
        <v> 6/29 ○ 9-4 Carioca</v>
      </c>
      <c r="AD23" s="14">
        <f>+L22</f>
        <v>4</v>
      </c>
      <c r="AE23" s="14">
        <f>+L23</f>
        <v>5</v>
      </c>
      <c r="AF23" s="14">
        <f>+J22</f>
        <v>2</v>
      </c>
      <c r="AG23" s="14">
        <f>+J23</f>
        <v>2</v>
      </c>
      <c r="AH23" s="121">
        <f t="shared" si="5"/>
        <v>40357</v>
      </c>
    </row>
    <row r="24" spans="1:34" ht="14.25" customHeight="1">
      <c r="A24" s="289"/>
      <c r="B24" s="328"/>
      <c r="C24" s="405"/>
      <c r="D24" s="297">
        <v>2</v>
      </c>
      <c r="E24" s="282">
        <v>0.45138888888888895</v>
      </c>
      <c r="F24" s="282">
        <v>0.513888888888889</v>
      </c>
      <c r="G24" s="86" t="s">
        <v>20</v>
      </c>
      <c r="H24" s="316" t="str">
        <f>VLOOKUP(G24,'参加チーム'!$B$5:$G$73,IF($N$2=1,4,5),FALSE)</f>
        <v>ヴィヴァーレ</v>
      </c>
      <c r="I24" s="304">
        <f>IF(J24&lt;&gt;"",J24+J25,"")</f>
        <v>3</v>
      </c>
      <c r="J24" s="116">
        <v>1</v>
      </c>
      <c r="K24" s="303" t="s">
        <v>86</v>
      </c>
      <c r="L24" s="116">
        <v>1</v>
      </c>
      <c r="M24" s="304">
        <f>IF(L24&lt;&gt;"",L24+L25,"")</f>
        <v>1</v>
      </c>
      <c r="N24" s="86" t="s">
        <v>19</v>
      </c>
      <c r="O24" s="316" t="str">
        <f>VLOOKUP(N24,'参加チーム'!$B$5:$G$73,IF($N$2=1,4,5),FALSE)</f>
        <v>PIETRA</v>
      </c>
      <c r="P24" s="325" t="str">
        <f>+O24</f>
        <v>PIETRA</v>
      </c>
      <c r="Q24" s="323"/>
      <c r="S24" s="20" t="str">
        <f>+"前"&amp;G24&amp;N24</f>
        <v>前北Ｂ北Ｆ</v>
      </c>
      <c r="T24" s="16">
        <f>IF(I24&lt;&gt;"",I24,"")</f>
        <v>3</v>
      </c>
      <c r="U24" s="16">
        <f>IF(M24&lt;&gt;"",M24,"")</f>
        <v>1</v>
      </c>
      <c r="V24" s="21">
        <f>+B22</f>
        <v>40357</v>
      </c>
      <c r="X24" s="117">
        <f t="shared" si="0"/>
        <v>6</v>
      </c>
      <c r="Y24" s="117">
        <f t="shared" si="1"/>
        <v>29</v>
      </c>
      <c r="Z24" s="117" t="str">
        <f t="shared" si="2"/>
        <v> 6/29</v>
      </c>
      <c r="AA24" s="117" t="str">
        <f t="shared" si="3"/>
        <v>○</v>
      </c>
      <c r="AB24" s="14" t="str">
        <f>IF(T24&lt;&gt;"",H24,"")</f>
        <v>ヴィヴァーレ</v>
      </c>
      <c r="AC24" s="117" t="str">
        <f>+Z24&amp;" "&amp;AA24&amp;" "&amp;T24&amp;"-"&amp;U24&amp;" "&amp;O24</f>
        <v> 6/29 ○ 3-1 PIETRA</v>
      </c>
      <c r="AD24" s="14">
        <f>+J24</f>
        <v>1</v>
      </c>
      <c r="AE24" s="14">
        <f>+J25</f>
        <v>2</v>
      </c>
      <c r="AF24" s="14">
        <f>+L24</f>
        <v>1</v>
      </c>
      <c r="AG24" s="14">
        <f>+L25</f>
        <v>0</v>
      </c>
      <c r="AH24" s="121">
        <f t="shared" si="5"/>
        <v>40357</v>
      </c>
    </row>
    <row r="25" spans="1:34" ht="14.25" customHeight="1">
      <c r="A25" s="289"/>
      <c r="B25" s="328"/>
      <c r="C25" s="406" t="s">
        <v>172</v>
      </c>
      <c r="D25" s="309"/>
      <c r="E25" s="281"/>
      <c r="F25" s="281"/>
      <c r="G25" s="85" t="str">
        <f>LEFT(VLOOKUP(G24,'参加チーム'!$B$5:$G$73,6,FALSE),2)</f>
        <v>岩手</v>
      </c>
      <c r="H25" s="317"/>
      <c r="I25" s="281"/>
      <c r="J25" s="116">
        <v>2</v>
      </c>
      <c r="K25" s="302"/>
      <c r="L25" s="116">
        <v>0</v>
      </c>
      <c r="M25" s="281"/>
      <c r="N25" s="85" t="str">
        <f>LEFT(VLOOKUP(N24,'参加チーム'!$B$5:$G$73,6,FALSE),2)</f>
        <v>秋田</v>
      </c>
      <c r="O25" s="317"/>
      <c r="P25" s="307"/>
      <c r="Q25" s="323"/>
      <c r="S25" s="20" t="str">
        <f>+"前"&amp;N24&amp;G24</f>
        <v>前北Ｆ北Ｂ</v>
      </c>
      <c r="T25" s="16">
        <f>IF(M24&lt;&gt;"",M24,"")</f>
        <v>1</v>
      </c>
      <c r="U25" s="16">
        <f>IF(I24&lt;&gt;"",I24,"")</f>
        <v>3</v>
      </c>
      <c r="V25" s="21">
        <f>+B22</f>
        <v>40357</v>
      </c>
      <c r="X25" s="117">
        <f t="shared" si="0"/>
        <v>6</v>
      </c>
      <c r="Y25" s="117">
        <f t="shared" si="1"/>
        <v>29</v>
      </c>
      <c r="Z25" s="117" t="str">
        <f t="shared" si="2"/>
        <v> 6/29</v>
      </c>
      <c r="AA25" s="117" t="str">
        <f t="shared" si="3"/>
        <v>●</v>
      </c>
      <c r="AB25" s="14" t="str">
        <f t="shared" si="4"/>
        <v>PIETRA</v>
      </c>
      <c r="AC25" s="117" t="str">
        <f>+Z25&amp;" "&amp;AA25&amp;" "&amp;T25&amp;"-"&amp;U25&amp;" "&amp;H24</f>
        <v> 6/29 ● 1-3 ヴィヴァーレ</v>
      </c>
      <c r="AD25" s="14">
        <f>+L24</f>
        <v>1</v>
      </c>
      <c r="AE25" s="14">
        <f>+L25</f>
        <v>0</v>
      </c>
      <c r="AF25" s="14">
        <f>+J24</f>
        <v>1</v>
      </c>
      <c r="AG25" s="14">
        <f>+J25</f>
        <v>2</v>
      </c>
      <c r="AH25" s="121">
        <f t="shared" si="5"/>
        <v>40357</v>
      </c>
    </row>
    <row r="26" spans="1:34" ht="14.25" customHeight="1">
      <c r="A26" s="289"/>
      <c r="B26" s="328"/>
      <c r="C26" s="406"/>
      <c r="D26" s="297">
        <v>3</v>
      </c>
      <c r="E26" s="283">
        <v>0.5277777777777778</v>
      </c>
      <c r="F26" s="282">
        <v>0.5902777777777778</v>
      </c>
      <c r="G26" s="86" t="s">
        <v>18</v>
      </c>
      <c r="H26" s="316" t="str">
        <f>VLOOKUP(G26,'参加チーム'!$B$5:$G$73,IF($N$2=1,4,5),FALSE)</f>
        <v>Rion</v>
      </c>
      <c r="I26" s="304">
        <f>IF(J26&lt;&gt;"",J26+J27,"")</f>
        <v>1</v>
      </c>
      <c r="J26" s="116">
        <v>0</v>
      </c>
      <c r="K26" s="396" t="s">
        <v>86</v>
      </c>
      <c r="L26" s="116">
        <v>3</v>
      </c>
      <c r="M26" s="304">
        <f>IF(L26&lt;&gt;"",L26+L27,"")</f>
        <v>3</v>
      </c>
      <c r="N26" s="86" t="s">
        <v>16</v>
      </c>
      <c r="O26" s="316" t="str">
        <f>VLOOKUP(N26,'参加チーム'!$B$5:$G$73,IF($N$2=1,4,5),FALSE)</f>
        <v>ステラミーゴ</v>
      </c>
      <c r="P26" s="325" t="str">
        <f>+O26</f>
        <v>ステラミーゴ</v>
      </c>
      <c r="Q26" s="323"/>
      <c r="S26" s="20" t="str">
        <f>+"前"&amp;G26&amp;N26</f>
        <v>前北Ｅ北Ｄ</v>
      </c>
      <c r="T26" s="16">
        <f>IF(I26&lt;&gt;"",I26,"")</f>
        <v>1</v>
      </c>
      <c r="U26" s="16">
        <f>IF(M26&lt;&gt;"",M26,"")</f>
        <v>3</v>
      </c>
      <c r="V26" s="21">
        <f>+B22</f>
        <v>40357</v>
      </c>
      <c r="X26" s="117">
        <f t="shared" si="0"/>
        <v>6</v>
      </c>
      <c r="Y26" s="117">
        <f t="shared" si="1"/>
        <v>29</v>
      </c>
      <c r="Z26" s="117" t="str">
        <f t="shared" si="2"/>
        <v> 6/29</v>
      </c>
      <c r="AA26" s="117" t="str">
        <f t="shared" si="3"/>
        <v>●</v>
      </c>
      <c r="AB26" s="14" t="str">
        <f>IF(T26&lt;&gt;"",H26,"")</f>
        <v>Rion</v>
      </c>
      <c r="AC26" s="117" t="str">
        <f>+Z26&amp;" "&amp;AA26&amp;" "&amp;T26&amp;"-"&amp;U26&amp;" "&amp;O26</f>
        <v> 6/29 ● 1-3 ステラミーゴ</v>
      </c>
      <c r="AD26" s="14">
        <f>+J26</f>
        <v>0</v>
      </c>
      <c r="AE26" s="14">
        <f>+J27</f>
        <v>1</v>
      </c>
      <c r="AF26" s="14">
        <f>+L26</f>
        <v>3</v>
      </c>
      <c r="AG26" s="14">
        <f>+L27</f>
        <v>0</v>
      </c>
      <c r="AH26" s="121">
        <f t="shared" si="5"/>
        <v>40357</v>
      </c>
    </row>
    <row r="27" spans="1:34" ht="15" customHeight="1" thickBot="1">
      <c r="A27" s="290"/>
      <c r="B27" s="329"/>
      <c r="C27" s="407"/>
      <c r="D27" s="298"/>
      <c r="E27" s="285"/>
      <c r="F27" s="305"/>
      <c r="G27" s="85" t="str">
        <f>LEFT(VLOOKUP(G26,'参加チーム'!$B$5:$G$73,6,FALSE),2)</f>
        <v>秋田</v>
      </c>
      <c r="H27" s="320"/>
      <c r="I27" s="305"/>
      <c r="J27" s="125">
        <v>1</v>
      </c>
      <c r="K27" s="397"/>
      <c r="L27" s="125">
        <v>0</v>
      </c>
      <c r="M27" s="305"/>
      <c r="N27" s="85" t="str">
        <f>LEFT(VLOOKUP(N26,'参加チーム'!$B$5:$G$73,6,FALSE),2)</f>
        <v>岩手</v>
      </c>
      <c r="O27" s="320"/>
      <c r="P27" s="315"/>
      <c r="Q27" s="324"/>
      <c r="S27" s="22" t="str">
        <f>+"前"&amp;N26&amp;G26</f>
        <v>前北Ｄ北Ｅ</v>
      </c>
      <c r="T27" s="23">
        <f>IF(M26&lt;&gt;"",M26,"")</f>
        <v>3</v>
      </c>
      <c r="U27" s="23">
        <f>IF(I26&lt;&gt;"",I26,"")</f>
        <v>1</v>
      </c>
      <c r="V27" s="24">
        <f>+B22</f>
        <v>40357</v>
      </c>
      <c r="X27" s="117">
        <f t="shared" si="0"/>
        <v>6</v>
      </c>
      <c r="Y27" s="117">
        <f t="shared" si="1"/>
        <v>29</v>
      </c>
      <c r="Z27" s="117" t="str">
        <f t="shared" si="2"/>
        <v> 6/29</v>
      </c>
      <c r="AA27" s="117" t="str">
        <f t="shared" si="3"/>
        <v>○</v>
      </c>
      <c r="AB27" s="14" t="str">
        <f t="shared" si="4"/>
        <v>ステラミーゴ</v>
      </c>
      <c r="AC27" s="117" t="str">
        <f>+Z27&amp;" "&amp;AA27&amp;" "&amp;T27&amp;"-"&amp;U27&amp;" "&amp;H26</f>
        <v> 6/29 ○ 3-1 Rion</v>
      </c>
      <c r="AD27" s="14">
        <f>+L26</f>
        <v>3</v>
      </c>
      <c r="AE27" s="14">
        <f>+L27</f>
        <v>0</v>
      </c>
      <c r="AF27" s="14">
        <f>+J26</f>
        <v>0</v>
      </c>
      <c r="AG27" s="14">
        <f>+J27</f>
        <v>1</v>
      </c>
      <c r="AH27" s="121">
        <f t="shared" si="5"/>
        <v>40357</v>
      </c>
    </row>
    <row r="28" spans="1:34" ht="14.25" customHeight="1">
      <c r="A28" s="288">
        <v>5</v>
      </c>
      <c r="B28" s="398">
        <v>40371</v>
      </c>
      <c r="C28" s="404" t="s">
        <v>56</v>
      </c>
      <c r="D28" s="308">
        <v>1</v>
      </c>
      <c r="E28" s="280">
        <v>0.3958333333333333</v>
      </c>
      <c r="F28" s="280">
        <v>0.4375</v>
      </c>
      <c r="G28" s="84" t="s">
        <v>18</v>
      </c>
      <c r="H28" s="318" t="str">
        <f>VLOOKUP(G28,'参加チーム'!$B$5:$G$73,IF($N$2=1,4,5),FALSE)</f>
        <v>Rion</v>
      </c>
      <c r="I28" s="300">
        <f>IF(J28&lt;&gt;"",J28+J29,"")</f>
        <v>4</v>
      </c>
      <c r="J28" s="123">
        <v>3</v>
      </c>
      <c r="K28" s="301" t="s">
        <v>86</v>
      </c>
      <c r="L28" s="123">
        <v>2</v>
      </c>
      <c r="M28" s="300">
        <f>IF(L28&lt;&gt;"",L28+L29,"")</f>
        <v>8</v>
      </c>
      <c r="N28" s="84" t="s">
        <v>21</v>
      </c>
      <c r="O28" s="318" t="str">
        <f>VLOOKUP(N28,'参加チーム'!$B$5:$G$73,IF($N$2=1,4,5),FALSE)</f>
        <v>Carioca</v>
      </c>
      <c r="P28" s="326" t="str">
        <f>+O28</f>
        <v>Carioca</v>
      </c>
      <c r="Q28" s="322" t="str">
        <f>+H32</f>
        <v>Itatica</v>
      </c>
      <c r="S28" s="17" t="str">
        <f>+"前"&amp;G28&amp;N28</f>
        <v>前北Ｅ北Ｃ</v>
      </c>
      <c r="T28" s="18">
        <f>IF(I28&lt;&gt;"",I28,"")</f>
        <v>4</v>
      </c>
      <c r="U28" s="18">
        <f>IF(M28&lt;&gt;"",M28,"")</f>
        <v>8</v>
      </c>
      <c r="V28" s="19">
        <f>+B28</f>
        <v>40371</v>
      </c>
      <c r="X28" s="117">
        <f t="shared" si="0"/>
        <v>7</v>
      </c>
      <c r="Y28" s="117">
        <f t="shared" si="1"/>
        <v>13</v>
      </c>
      <c r="Z28" s="117" t="str">
        <f t="shared" si="2"/>
        <v> 7/13</v>
      </c>
      <c r="AA28" s="117" t="str">
        <f t="shared" si="3"/>
        <v>●</v>
      </c>
      <c r="AB28" s="14" t="str">
        <f>IF(T28&lt;&gt;"",H28,"")</f>
        <v>Rion</v>
      </c>
      <c r="AC28" s="117" t="str">
        <f>+Z28&amp;" "&amp;AA28&amp;" "&amp;T28&amp;"-"&amp;U28&amp;" "&amp;O28</f>
        <v> 7/13 ● 4-8 Carioca</v>
      </c>
      <c r="AD28" s="14">
        <f>+J28</f>
        <v>3</v>
      </c>
      <c r="AE28" s="14">
        <f>+J29</f>
        <v>1</v>
      </c>
      <c r="AF28" s="14">
        <f>+L28</f>
        <v>2</v>
      </c>
      <c r="AG28" s="14">
        <f>+L29</f>
        <v>6</v>
      </c>
      <c r="AH28" s="121">
        <f t="shared" si="5"/>
        <v>40371</v>
      </c>
    </row>
    <row r="29" spans="1:34" ht="14.25" customHeight="1">
      <c r="A29" s="289"/>
      <c r="B29" s="328"/>
      <c r="C29" s="405"/>
      <c r="D29" s="309"/>
      <c r="E29" s="281"/>
      <c r="F29" s="281"/>
      <c r="G29" s="85" t="str">
        <f>LEFT(VLOOKUP(G28,'参加チーム'!$B$5:$G$73,6,FALSE),2)</f>
        <v>秋田</v>
      </c>
      <c r="H29" s="317"/>
      <c r="I29" s="281"/>
      <c r="J29" s="116">
        <v>1</v>
      </c>
      <c r="K29" s="302"/>
      <c r="L29" s="116">
        <v>6</v>
      </c>
      <c r="M29" s="281"/>
      <c r="N29" s="85" t="str">
        <f>LEFT(VLOOKUP(N28,'参加チーム'!$B$5:$G$73,6,FALSE),2)</f>
        <v>岩手</v>
      </c>
      <c r="O29" s="317"/>
      <c r="P29" s="307"/>
      <c r="Q29" s="323"/>
      <c r="S29" s="20" t="str">
        <f>+"前"&amp;N28&amp;G28</f>
        <v>前北Ｃ北Ｅ</v>
      </c>
      <c r="T29" s="16">
        <f>IF(M28&lt;&gt;"",M28,"")</f>
        <v>8</v>
      </c>
      <c r="U29" s="16">
        <f>IF(I28&lt;&gt;"",I28,"")</f>
        <v>4</v>
      </c>
      <c r="V29" s="21">
        <f>+B28</f>
        <v>40371</v>
      </c>
      <c r="X29" s="117">
        <f t="shared" si="0"/>
        <v>7</v>
      </c>
      <c r="Y29" s="117">
        <f t="shared" si="1"/>
        <v>13</v>
      </c>
      <c r="Z29" s="117" t="str">
        <f t="shared" si="2"/>
        <v> 7/13</v>
      </c>
      <c r="AA29" s="117" t="str">
        <f t="shared" si="3"/>
        <v>○</v>
      </c>
      <c r="AB29" s="14" t="str">
        <f t="shared" si="4"/>
        <v>Carioca</v>
      </c>
      <c r="AC29" s="117" t="str">
        <f>+Z29&amp;" "&amp;AA29&amp;" "&amp;T29&amp;"-"&amp;U29&amp;" "&amp;H28</f>
        <v> 7/13 ○ 8-4 Rion</v>
      </c>
      <c r="AD29" s="14">
        <f>+L28</f>
        <v>2</v>
      </c>
      <c r="AE29" s="14">
        <f>+L29</f>
        <v>6</v>
      </c>
      <c r="AF29" s="14">
        <f>+J28</f>
        <v>3</v>
      </c>
      <c r="AG29" s="14">
        <f>+J29</f>
        <v>1</v>
      </c>
      <c r="AH29" s="121">
        <f t="shared" si="5"/>
        <v>40371</v>
      </c>
    </row>
    <row r="30" spans="1:34" ht="14.25" customHeight="1">
      <c r="A30" s="289"/>
      <c r="B30" s="328"/>
      <c r="C30" s="405"/>
      <c r="D30" s="297">
        <v>2</v>
      </c>
      <c r="E30" s="282">
        <v>0.45138888888888895</v>
      </c>
      <c r="F30" s="282">
        <v>0.513888888888889</v>
      </c>
      <c r="G30" s="86" t="s">
        <v>16</v>
      </c>
      <c r="H30" s="316" t="str">
        <f>VLOOKUP(G30,'参加チーム'!$B$5:$G$73,IF($N$2=1,4,5),FALSE)</f>
        <v>ステラミーゴ</v>
      </c>
      <c r="I30" s="304">
        <f>IF(J30&lt;&gt;"",J30+J31,"")</f>
        <v>2</v>
      </c>
      <c r="J30" s="116">
        <v>0</v>
      </c>
      <c r="K30" s="303" t="s">
        <v>86</v>
      </c>
      <c r="L30" s="116">
        <v>0</v>
      </c>
      <c r="M30" s="304">
        <f>IF(L30&lt;&gt;"",L30+L31,"")</f>
        <v>1</v>
      </c>
      <c r="N30" s="86" t="s">
        <v>19</v>
      </c>
      <c r="O30" s="316" t="str">
        <f>VLOOKUP(N30,'参加チーム'!$B$5:$G$73,IF($N$2=1,4,5),FALSE)</f>
        <v>PIETRA</v>
      </c>
      <c r="P30" s="325" t="str">
        <f>+O30</f>
        <v>PIETRA</v>
      </c>
      <c r="Q30" s="323"/>
      <c r="S30" s="20" t="str">
        <f>+"前"&amp;G30&amp;N30</f>
        <v>前北Ｄ北Ｆ</v>
      </c>
      <c r="T30" s="16">
        <f>IF(I30&lt;&gt;"",I30,"")</f>
        <v>2</v>
      </c>
      <c r="U30" s="16">
        <f>IF(M30&lt;&gt;"",M30,"")</f>
        <v>1</v>
      </c>
      <c r="V30" s="21">
        <f>+B28</f>
        <v>40371</v>
      </c>
      <c r="X30" s="117">
        <f t="shared" si="0"/>
        <v>7</v>
      </c>
      <c r="Y30" s="117">
        <f t="shared" si="1"/>
        <v>13</v>
      </c>
      <c r="Z30" s="117" t="str">
        <f t="shared" si="2"/>
        <v> 7/13</v>
      </c>
      <c r="AA30" s="117" t="str">
        <f t="shared" si="3"/>
        <v>○</v>
      </c>
      <c r="AB30" s="14" t="str">
        <f>IF(T30&lt;&gt;"",H30,"")</f>
        <v>ステラミーゴ</v>
      </c>
      <c r="AC30" s="117" t="str">
        <f>+Z30&amp;" "&amp;AA30&amp;" "&amp;T30&amp;"-"&amp;U30&amp;" "&amp;O30</f>
        <v> 7/13 ○ 2-1 PIETRA</v>
      </c>
      <c r="AD30" s="14">
        <f>+J30</f>
        <v>0</v>
      </c>
      <c r="AE30" s="14">
        <f>+J31</f>
        <v>2</v>
      </c>
      <c r="AF30" s="14">
        <f>+L30</f>
        <v>0</v>
      </c>
      <c r="AG30" s="14">
        <f>+L31</f>
        <v>1</v>
      </c>
      <c r="AH30" s="121">
        <f t="shared" si="5"/>
        <v>40371</v>
      </c>
    </row>
    <row r="31" spans="1:34" ht="14.25" customHeight="1">
      <c r="A31" s="289"/>
      <c r="B31" s="328"/>
      <c r="C31" s="406" t="s">
        <v>173</v>
      </c>
      <c r="D31" s="309"/>
      <c r="E31" s="281"/>
      <c r="F31" s="281"/>
      <c r="G31" s="85" t="str">
        <f>LEFT(VLOOKUP(G30,'参加チーム'!$B$5:$G$73,6,FALSE),2)</f>
        <v>岩手</v>
      </c>
      <c r="H31" s="317"/>
      <c r="I31" s="281"/>
      <c r="J31" s="116">
        <v>2</v>
      </c>
      <c r="K31" s="302"/>
      <c r="L31" s="116">
        <v>1</v>
      </c>
      <c r="M31" s="281"/>
      <c r="N31" s="85" t="str">
        <f>LEFT(VLOOKUP(N30,'参加チーム'!$B$5:$G$73,6,FALSE),2)</f>
        <v>秋田</v>
      </c>
      <c r="O31" s="317"/>
      <c r="P31" s="307"/>
      <c r="Q31" s="323"/>
      <c r="S31" s="20" t="str">
        <f>+"前"&amp;N30&amp;G30</f>
        <v>前北Ｆ北Ｄ</v>
      </c>
      <c r="T31" s="16">
        <f>IF(M30&lt;&gt;"",M30,"")</f>
        <v>1</v>
      </c>
      <c r="U31" s="16">
        <f>IF(I30&lt;&gt;"",I30,"")</f>
        <v>2</v>
      </c>
      <c r="V31" s="21">
        <f>+B28</f>
        <v>40371</v>
      </c>
      <c r="X31" s="117">
        <f t="shared" si="0"/>
        <v>7</v>
      </c>
      <c r="Y31" s="117">
        <f t="shared" si="1"/>
        <v>13</v>
      </c>
      <c r="Z31" s="117" t="str">
        <f t="shared" si="2"/>
        <v> 7/13</v>
      </c>
      <c r="AA31" s="117" t="str">
        <f t="shared" si="3"/>
        <v>●</v>
      </c>
      <c r="AB31" s="14" t="str">
        <f t="shared" si="4"/>
        <v>PIETRA</v>
      </c>
      <c r="AC31" s="117" t="str">
        <f>+Z31&amp;" "&amp;AA31&amp;" "&amp;T31&amp;"-"&amp;U31&amp;" "&amp;H30</f>
        <v> 7/13 ● 1-2 ステラミーゴ</v>
      </c>
      <c r="AD31" s="14">
        <f>+L30</f>
        <v>0</v>
      </c>
      <c r="AE31" s="14">
        <f>+L31</f>
        <v>1</v>
      </c>
      <c r="AF31" s="14">
        <f>+J30</f>
        <v>0</v>
      </c>
      <c r="AG31" s="14">
        <f>+J31</f>
        <v>2</v>
      </c>
      <c r="AH31" s="121">
        <f t="shared" si="5"/>
        <v>40371</v>
      </c>
    </row>
    <row r="32" spans="1:34" ht="14.25" customHeight="1">
      <c r="A32" s="289"/>
      <c r="B32" s="328"/>
      <c r="C32" s="406"/>
      <c r="D32" s="297">
        <v>3</v>
      </c>
      <c r="E32" s="283">
        <v>0.5277777777777778</v>
      </c>
      <c r="F32" s="282">
        <v>0.5902777777777778</v>
      </c>
      <c r="G32" s="86" t="s">
        <v>17</v>
      </c>
      <c r="H32" s="316" t="str">
        <f>VLOOKUP(G32,'参加チーム'!$B$5:$G$73,IF($N$2=1,4,5),FALSE)</f>
        <v>Itatica</v>
      </c>
      <c r="I32" s="304">
        <f>IF(J32&lt;&gt;"",J32+J33,"")</f>
        <v>5</v>
      </c>
      <c r="J32" s="116">
        <v>3</v>
      </c>
      <c r="K32" s="396" t="s">
        <v>86</v>
      </c>
      <c r="L32" s="116">
        <v>1</v>
      </c>
      <c r="M32" s="304">
        <f>IF(L32&lt;&gt;"",L32+L33,"")</f>
        <v>1</v>
      </c>
      <c r="N32" s="86" t="s">
        <v>20</v>
      </c>
      <c r="O32" s="316" t="str">
        <f>VLOOKUP(N32,'参加チーム'!$B$5:$G$73,IF($N$2=1,4,5),FALSE)</f>
        <v>ヴィヴァーレ</v>
      </c>
      <c r="P32" s="325" t="str">
        <f>+O32</f>
        <v>ヴィヴァーレ</v>
      </c>
      <c r="Q32" s="323"/>
      <c r="S32" s="20" t="str">
        <f>+"前"&amp;G32&amp;N32</f>
        <v>前北Ａ北Ｂ</v>
      </c>
      <c r="T32" s="16">
        <f>IF(I32&lt;&gt;"",I32,"")</f>
        <v>5</v>
      </c>
      <c r="U32" s="16">
        <f>IF(M32&lt;&gt;"",M32,"")</f>
        <v>1</v>
      </c>
      <c r="V32" s="21">
        <f>+B28</f>
        <v>40371</v>
      </c>
      <c r="X32" s="117">
        <f t="shared" si="0"/>
        <v>7</v>
      </c>
      <c r="Y32" s="117">
        <f t="shared" si="1"/>
        <v>13</v>
      </c>
      <c r="Z32" s="117" t="str">
        <f t="shared" si="2"/>
        <v> 7/13</v>
      </c>
      <c r="AA32" s="117" t="str">
        <f t="shared" si="3"/>
        <v>○</v>
      </c>
      <c r="AB32" s="14" t="str">
        <f>IF(T32&lt;&gt;"",H32,"")</f>
        <v>Itatica</v>
      </c>
      <c r="AC32" s="117" t="str">
        <f>+Z32&amp;" "&amp;AA32&amp;" "&amp;T32&amp;"-"&amp;U32&amp;" "&amp;O32</f>
        <v> 7/13 ○ 5-1 ヴィヴァーレ</v>
      </c>
      <c r="AD32" s="14">
        <f>+J32</f>
        <v>3</v>
      </c>
      <c r="AE32" s="14">
        <f>+J33</f>
        <v>2</v>
      </c>
      <c r="AF32" s="14">
        <f>+L32</f>
        <v>1</v>
      </c>
      <c r="AG32" s="14">
        <f>+L33</f>
        <v>0</v>
      </c>
      <c r="AH32" s="121">
        <f t="shared" si="5"/>
        <v>40371</v>
      </c>
    </row>
    <row r="33" spans="1:34" ht="15" customHeight="1" thickBot="1">
      <c r="A33" s="290"/>
      <c r="B33" s="329"/>
      <c r="C33" s="407"/>
      <c r="D33" s="298"/>
      <c r="E33" s="285"/>
      <c r="F33" s="305"/>
      <c r="G33" s="124" t="str">
        <f>LEFT(VLOOKUP(G32,'参加チーム'!$B$5:$G$73,6,FALSE),2)</f>
        <v>青森</v>
      </c>
      <c r="H33" s="320"/>
      <c r="I33" s="305"/>
      <c r="J33" s="125">
        <v>2</v>
      </c>
      <c r="K33" s="397"/>
      <c r="L33" s="125">
        <v>0</v>
      </c>
      <c r="M33" s="305"/>
      <c r="N33" s="124" t="str">
        <f>LEFT(VLOOKUP(N32,'参加チーム'!$B$5:$G$73,6,FALSE),2)</f>
        <v>岩手</v>
      </c>
      <c r="O33" s="320"/>
      <c r="P33" s="315"/>
      <c r="Q33" s="324"/>
      <c r="S33" s="22" t="str">
        <f>+"前"&amp;N32&amp;G32</f>
        <v>前北Ｂ北Ａ</v>
      </c>
      <c r="T33" s="23">
        <f>IF(M32&lt;&gt;"",M32,"")</f>
        <v>1</v>
      </c>
      <c r="U33" s="23">
        <f>IF(I32&lt;&gt;"",I32,"")</f>
        <v>5</v>
      </c>
      <c r="V33" s="24">
        <f>+B28</f>
        <v>40371</v>
      </c>
      <c r="X33" s="117">
        <f t="shared" si="0"/>
        <v>7</v>
      </c>
      <c r="Y33" s="117">
        <f t="shared" si="1"/>
        <v>13</v>
      </c>
      <c r="Z33" s="117" t="str">
        <f t="shared" si="2"/>
        <v> 7/13</v>
      </c>
      <c r="AA33" s="117" t="str">
        <f t="shared" si="3"/>
        <v>●</v>
      </c>
      <c r="AB33" s="14" t="str">
        <f t="shared" si="4"/>
        <v>ヴィヴァーレ</v>
      </c>
      <c r="AC33" s="117" t="str">
        <f>+Z33&amp;" "&amp;AA33&amp;" "&amp;T33&amp;"-"&amp;U33&amp;" "&amp;H32</f>
        <v> 7/13 ● 1-5 Itatica</v>
      </c>
      <c r="AD33" s="14">
        <f>+L32</f>
        <v>1</v>
      </c>
      <c r="AE33" s="14">
        <f>+L33</f>
        <v>0</v>
      </c>
      <c r="AF33" s="14">
        <f>+J32</f>
        <v>3</v>
      </c>
      <c r="AG33" s="14">
        <f>+J33</f>
        <v>2</v>
      </c>
      <c r="AH33" s="121">
        <f t="shared" si="5"/>
        <v>40371</v>
      </c>
    </row>
    <row r="34" spans="1:29" ht="14.2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X34" s="117"/>
      <c r="Y34" s="117"/>
      <c r="Z34" s="117"/>
      <c r="AA34" s="117"/>
      <c r="AC34" s="117"/>
    </row>
    <row r="35" spans="1:29" ht="28.5" customHeight="1" thickBot="1">
      <c r="A35" s="89" t="s">
        <v>100</v>
      </c>
      <c r="B35" s="90"/>
      <c r="C35" s="90"/>
      <c r="D35" s="90"/>
      <c r="E35" s="163">
        <v>0.0625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S35" s="15"/>
      <c r="T35" s="16"/>
      <c r="X35" s="117"/>
      <c r="Y35" s="117"/>
      <c r="Z35" s="117"/>
      <c r="AA35" s="117"/>
      <c r="AC35" s="117"/>
    </row>
    <row r="36" spans="1:29" ht="25.5" customHeight="1" thickBot="1">
      <c r="A36" s="93"/>
      <c r="B36" s="26" t="s">
        <v>52</v>
      </c>
      <c r="C36" s="26" t="s">
        <v>53</v>
      </c>
      <c r="D36" s="26" t="s">
        <v>136</v>
      </c>
      <c r="E36" s="26" t="s">
        <v>310</v>
      </c>
      <c r="F36" s="26" t="s">
        <v>54</v>
      </c>
      <c r="G36" s="27"/>
      <c r="H36" s="28" t="s">
        <v>137</v>
      </c>
      <c r="I36" s="299" t="s">
        <v>55</v>
      </c>
      <c r="J36" s="299"/>
      <c r="K36" s="299"/>
      <c r="L36" s="299"/>
      <c r="M36" s="299"/>
      <c r="N36" s="27"/>
      <c r="O36" s="28" t="s">
        <v>138</v>
      </c>
      <c r="P36" s="26" t="s">
        <v>118</v>
      </c>
      <c r="Q36" s="29" t="s">
        <v>51</v>
      </c>
      <c r="S36" s="16"/>
      <c r="T36" s="16"/>
      <c r="X36" s="117"/>
      <c r="Y36" s="117"/>
      <c r="Z36" s="117"/>
      <c r="AA36" s="117"/>
      <c r="AC36" s="117"/>
    </row>
    <row r="37" spans="1:34" ht="14.25" customHeight="1">
      <c r="A37" s="288">
        <v>6</v>
      </c>
      <c r="B37" s="398">
        <v>40420</v>
      </c>
      <c r="C37" s="404" t="s">
        <v>58</v>
      </c>
      <c r="D37" s="308">
        <v>1</v>
      </c>
      <c r="E37" s="280">
        <v>0.3958333333333333</v>
      </c>
      <c r="F37" s="280">
        <v>0.4375</v>
      </c>
      <c r="G37" s="84" t="s">
        <v>10</v>
      </c>
      <c r="H37" s="318" t="str">
        <f>VLOOKUP(G37,'参加チーム'!$B$5:$G$73,IF($N$2=1,4,5),FALSE)</f>
        <v>Carioca</v>
      </c>
      <c r="I37" s="300">
        <f>IF(J37&lt;&gt;"",J37+J38,"")</f>
      </c>
      <c r="J37" s="123"/>
      <c r="K37" s="301" t="s">
        <v>86</v>
      </c>
      <c r="L37" s="123"/>
      <c r="M37" s="300">
        <f>IF(L37&lt;&gt;"",L37+L38,"")</f>
      </c>
      <c r="N37" s="84" t="s">
        <v>18</v>
      </c>
      <c r="O37" s="318" t="str">
        <f>VLOOKUP(N37,'参加チーム'!$B$5:$G$73,IF($N$2=1,4,5),FALSE)</f>
        <v>Rion</v>
      </c>
      <c r="P37" s="326" t="str">
        <f>+O37</f>
        <v>Rion</v>
      </c>
      <c r="Q37" s="322" t="str">
        <f>+P37</f>
        <v>Rion</v>
      </c>
      <c r="S37" s="17" t="str">
        <f>+"後"&amp;G37&amp;N37</f>
        <v>後北Ｃ北Ｅ</v>
      </c>
      <c r="T37" s="18">
        <f>IF(I37&lt;&gt;"",I37,"")</f>
      </c>
      <c r="U37" s="18">
        <f>IF(M37&lt;&gt;"",M37,"")</f>
      </c>
      <c r="V37" s="19">
        <f>+B37</f>
        <v>40420</v>
      </c>
      <c r="X37" s="117">
        <f aca="true" t="shared" si="6" ref="X37:X66">MONTH(V37)</f>
        <v>8</v>
      </c>
      <c r="Y37" s="117">
        <f aca="true" t="shared" si="7" ref="Y37:Y66">DAY(V37)</f>
        <v>31</v>
      </c>
      <c r="Z37" s="117" t="str">
        <f aca="true" t="shared" si="8" ref="Z37:Z66">IF(LEN(X37)=1," ","")&amp;X37&amp;"/"&amp;IF(LEN(Y37)=1," ","")&amp;Y37</f>
        <v> 8/31</v>
      </c>
      <c r="AA37" s="117" t="str">
        <f aca="true" t="shared" si="9" ref="AA37:AA66">IF(T37&gt;U37,"○",IF(T37&lt;U37,"●","△"))</f>
        <v>△</v>
      </c>
      <c r="AB37" s="14">
        <f>IF(T37&lt;&gt;"",H37,"")</f>
      </c>
      <c r="AC37" s="117" t="str">
        <f>+Z37&amp;" "&amp;AA37&amp;" "&amp;T37&amp;"-"&amp;U37&amp;" "&amp;O37</f>
        <v> 8/31 △ - Rion</v>
      </c>
      <c r="AD37" s="14">
        <f>+J37</f>
        <v>0</v>
      </c>
      <c r="AE37" s="14">
        <f>+J38</f>
        <v>0</v>
      </c>
      <c r="AF37" s="14">
        <f>+L37</f>
        <v>0</v>
      </c>
      <c r="AG37" s="14">
        <f>+L38</f>
        <v>0</v>
      </c>
      <c r="AH37" s="121">
        <f aca="true" t="shared" si="10" ref="AH37:AH66">+V37</f>
        <v>40420</v>
      </c>
    </row>
    <row r="38" spans="1:34" ht="14.25" customHeight="1">
      <c r="A38" s="289"/>
      <c r="B38" s="328"/>
      <c r="C38" s="405"/>
      <c r="D38" s="309"/>
      <c r="E38" s="281"/>
      <c r="F38" s="281"/>
      <c r="G38" s="85" t="str">
        <f>LEFT(VLOOKUP(G37,'参加チーム'!$B$5:$G$73,6,FALSE),2)</f>
        <v>岩手</v>
      </c>
      <c r="H38" s="317"/>
      <c r="I38" s="281"/>
      <c r="J38" s="116"/>
      <c r="K38" s="302"/>
      <c r="L38" s="116"/>
      <c r="M38" s="281"/>
      <c r="N38" s="85" t="str">
        <f>LEFT(VLOOKUP(N37,'参加チーム'!$B$5:$G$73,6,FALSE),2)</f>
        <v>秋田</v>
      </c>
      <c r="O38" s="317"/>
      <c r="P38" s="307"/>
      <c r="Q38" s="323"/>
      <c r="S38" s="20" t="str">
        <f>+"後"&amp;N37&amp;G37</f>
        <v>後北Ｅ北Ｃ</v>
      </c>
      <c r="T38" s="16">
        <f>IF(M37&lt;&gt;"",M37,"")</f>
      </c>
      <c r="U38" s="16">
        <f>IF(I37&lt;&gt;"",I37,"")</f>
      </c>
      <c r="V38" s="21">
        <f>+B37</f>
        <v>40420</v>
      </c>
      <c r="X38" s="117">
        <f t="shared" si="6"/>
        <v>8</v>
      </c>
      <c r="Y38" s="117">
        <f t="shared" si="7"/>
        <v>31</v>
      </c>
      <c r="Z38" s="117" t="str">
        <f t="shared" si="8"/>
        <v> 8/31</v>
      </c>
      <c r="AA38" s="117" t="str">
        <f t="shared" si="9"/>
        <v>△</v>
      </c>
      <c r="AB38" s="14">
        <f>IF(T38&lt;&gt;"",O37,"")</f>
      </c>
      <c r="AC38" s="117" t="str">
        <f>+Z38&amp;" "&amp;AA38&amp;" "&amp;T38&amp;"-"&amp;U38&amp;" "&amp;H37</f>
        <v> 8/31 △ - Carioca</v>
      </c>
      <c r="AD38" s="14">
        <f>+L37</f>
        <v>0</v>
      </c>
      <c r="AE38" s="14">
        <f>+L38</f>
        <v>0</v>
      </c>
      <c r="AF38" s="14">
        <f>+J37</f>
        <v>0</v>
      </c>
      <c r="AG38" s="14">
        <f>+J38</f>
        <v>0</v>
      </c>
      <c r="AH38" s="121">
        <f t="shared" si="10"/>
        <v>40420</v>
      </c>
    </row>
    <row r="39" spans="1:34" ht="14.25" customHeight="1">
      <c r="A39" s="289"/>
      <c r="B39" s="328"/>
      <c r="C39" s="405"/>
      <c r="D39" s="297">
        <v>2</v>
      </c>
      <c r="E39" s="282">
        <v>0.45138888888888895</v>
      </c>
      <c r="F39" s="282">
        <v>0.513888888888889</v>
      </c>
      <c r="G39" s="86" t="s">
        <v>9</v>
      </c>
      <c r="H39" s="316" t="str">
        <f>VLOOKUP(G39,'参加チーム'!$B$5:$G$73,IF($N$2=1,4,5),FALSE)</f>
        <v>ヴィヴァーレ</v>
      </c>
      <c r="I39" s="304">
        <f>IF(J39&lt;&gt;"",J39+J40,"")</f>
      </c>
      <c r="J39" s="116"/>
      <c r="K39" s="303" t="s">
        <v>86</v>
      </c>
      <c r="L39" s="116"/>
      <c r="M39" s="304">
        <f>IF(L39&lt;&gt;"",L39+L40,"")</f>
      </c>
      <c r="N39" s="86" t="s">
        <v>11</v>
      </c>
      <c r="O39" s="316" t="str">
        <f>VLOOKUP(N39,'参加チーム'!$B$5:$G$73,IF($N$2=1,4,5),FALSE)</f>
        <v>ステラミーゴ</v>
      </c>
      <c r="P39" s="325" t="str">
        <f>+O39</f>
        <v>ステラミーゴ</v>
      </c>
      <c r="Q39" s="323"/>
      <c r="S39" s="20" t="str">
        <f>+"後"&amp;G39&amp;N39</f>
        <v>後北Ｂ北Ｄ</v>
      </c>
      <c r="T39" s="16">
        <f>+I39</f>
      </c>
      <c r="U39" s="16">
        <f>+M39</f>
      </c>
      <c r="V39" s="21">
        <f>+B37</f>
        <v>40420</v>
      </c>
      <c r="X39" s="117">
        <f t="shared" si="6"/>
        <v>8</v>
      </c>
      <c r="Y39" s="117">
        <f t="shared" si="7"/>
        <v>31</v>
      </c>
      <c r="Z39" s="117" t="str">
        <f t="shared" si="8"/>
        <v> 8/31</v>
      </c>
      <c r="AA39" s="117" t="str">
        <f t="shared" si="9"/>
        <v>△</v>
      </c>
      <c r="AB39" s="14">
        <f>IF(T39&lt;&gt;"",H39,"")</f>
      </c>
      <c r="AC39" s="117" t="str">
        <f>+Z39&amp;" "&amp;AA39&amp;" "&amp;T39&amp;"-"&amp;U39&amp;" "&amp;O39</f>
        <v> 8/31 △ - ステラミーゴ</v>
      </c>
      <c r="AD39" s="14">
        <f>+J39</f>
        <v>0</v>
      </c>
      <c r="AE39" s="14">
        <f>+J40</f>
        <v>0</v>
      </c>
      <c r="AF39" s="14">
        <f>+L39</f>
        <v>0</v>
      </c>
      <c r="AG39" s="14">
        <f>+L40</f>
        <v>0</v>
      </c>
      <c r="AH39" s="121">
        <f t="shared" si="10"/>
        <v>40420</v>
      </c>
    </row>
    <row r="40" spans="1:34" ht="14.25" customHeight="1">
      <c r="A40" s="289"/>
      <c r="B40" s="328"/>
      <c r="C40" s="406" t="s">
        <v>236</v>
      </c>
      <c r="D40" s="309"/>
      <c r="E40" s="281"/>
      <c r="F40" s="281"/>
      <c r="G40" s="85" t="str">
        <f>LEFT(VLOOKUP(G39,'参加チーム'!$B$5:$G$73,6,FALSE),2)</f>
        <v>岩手</v>
      </c>
      <c r="H40" s="317"/>
      <c r="I40" s="281"/>
      <c r="J40" s="116"/>
      <c r="K40" s="302"/>
      <c r="L40" s="116"/>
      <c r="M40" s="281"/>
      <c r="N40" s="85" t="str">
        <f>LEFT(VLOOKUP(N39,'参加チーム'!$B$5:$G$73,6,FALSE),2)</f>
        <v>岩手</v>
      </c>
      <c r="O40" s="317"/>
      <c r="P40" s="307"/>
      <c r="Q40" s="323"/>
      <c r="S40" s="20" t="str">
        <f>+"後"&amp;N39&amp;G39</f>
        <v>後北Ｄ北Ｂ</v>
      </c>
      <c r="T40" s="16">
        <f>+M39</f>
      </c>
      <c r="U40" s="16">
        <f>+I39</f>
      </c>
      <c r="V40" s="21">
        <f>+B37</f>
        <v>40420</v>
      </c>
      <c r="X40" s="117">
        <f t="shared" si="6"/>
        <v>8</v>
      </c>
      <c r="Y40" s="117">
        <f t="shared" si="7"/>
        <v>31</v>
      </c>
      <c r="Z40" s="117" t="str">
        <f t="shared" si="8"/>
        <v> 8/31</v>
      </c>
      <c r="AA40" s="117" t="str">
        <f t="shared" si="9"/>
        <v>△</v>
      </c>
      <c r="AB40" s="14">
        <f>IF(T40&lt;&gt;"",O39,"")</f>
      </c>
      <c r="AC40" s="117" t="str">
        <f>+Z40&amp;" "&amp;AA40&amp;" "&amp;T40&amp;"-"&amp;U40&amp;" "&amp;H39</f>
        <v> 8/31 △ - ヴィヴァーレ</v>
      </c>
      <c r="AD40" s="14">
        <f>+L39</f>
        <v>0</v>
      </c>
      <c r="AE40" s="14">
        <f>+L40</f>
        <v>0</v>
      </c>
      <c r="AF40" s="14">
        <f>+J39</f>
        <v>0</v>
      </c>
      <c r="AG40" s="14">
        <f>+J40</f>
        <v>0</v>
      </c>
      <c r="AH40" s="121">
        <f t="shared" si="10"/>
        <v>40420</v>
      </c>
    </row>
    <row r="41" spans="1:34" ht="14.25">
      <c r="A41" s="289"/>
      <c r="B41" s="328"/>
      <c r="C41" s="406"/>
      <c r="D41" s="297">
        <v>3</v>
      </c>
      <c r="E41" s="283">
        <v>0.5277777777777778</v>
      </c>
      <c r="F41" s="282">
        <v>0.5902777777777778</v>
      </c>
      <c r="G41" s="86" t="s">
        <v>8</v>
      </c>
      <c r="H41" s="316" t="str">
        <f>VLOOKUP(G41,'参加チーム'!$B$5:$G$73,IF($N$2=1,4,5),FALSE)</f>
        <v>Itatica</v>
      </c>
      <c r="I41" s="304">
        <f>IF(J41&lt;&gt;"",J41+J42,"")</f>
      </c>
      <c r="J41" s="116"/>
      <c r="K41" s="303" t="s">
        <v>86</v>
      </c>
      <c r="L41" s="116"/>
      <c r="M41" s="304">
        <f>IF(L41&lt;&gt;"",L41+L42,"")</f>
      </c>
      <c r="N41" s="86" t="s">
        <v>13</v>
      </c>
      <c r="O41" s="316" t="str">
        <f>VLOOKUP(N41,'参加チーム'!$B$5:$G$73,IF($N$2=1,4,5),FALSE)</f>
        <v>PIETRA</v>
      </c>
      <c r="P41" s="325" t="str">
        <f>+O41</f>
        <v>PIETRA</v>
      </c>
      <c r="Q41" s="323"/>
      <c r="S41" s="20" t="str">
        <f>+"後"&amp;G41&amp;N41</f>
        <v>後北Ａ北Ｆ</v>
      </c>
      <c r="T41" s="16">
        <f>+I41</f>
      </c>
      <c r="U41" s="16">
        <f>+M41</f>
      </c>
      <c r="V41" s="21">
        <f>+B37</f>
        <v>40420</v>
      </c>
      <c r="X41" s="117">
        <f t="shared" si="6"/>
        <v>8</v>
      </c>
      <c r="Y41" s="117">
        <f t="shared" si="7"/>
        <v>31</v>
      </c>
      <c r="Z41" s="117" t="str">
        <f t="shared" si="8"/>
        <v> 8/31</v>
      </c>
      <c r="AA41" s="117" t="str">
        <f t="shared" si="9"/>
        <v>△</v>
      </c>
      <c r="AB41" s="14">
        <f>IF(T41&lt;&gt;"",H41,"")</f>
      </c>
      <c r="AC41" s="117" t="str">
        <f>+Z41&amp;" "&amp;AA41&amp;" "&amp;T41&amp;"-"&amp;U41&amp;" "&amp;O41</f>
        <v> 8/31 △ - PIETRA</v>
      </c>
      <c r="AD41" s="14">
        <f>+J41</f>
        <v>0</v>
      </c>
      <c r="AE41" s="14">
        <f>+J42</f>
        <v>0</v>
      </c>
      <c r="AF41" s="14">
        <f>+L41</f>
        <v>0</v>
      </c>
      <c r="AG41" s="14">
        <f>+L42</f>
        <v>0</v>
      </c>
      <c r="AH41" s="121">
        <f t="shared" si="10"/>
        <v>40420</v>
      </c>
    </row>
    <row r="42" spans="1:34" ht="15" thickBot="1">
      <c r="A42" s="289"/>
      <c r="B42" s="328"/>
      <c r="C42" s="406"/>
      <c r="D42" s="411"/>
      <c r="E42" s="285"/>
      <c r="F42" s="408"/>
      <c r="G42" s="149" t="str">
        <f>LEFT(VLOOKUP(G41,'参加チーム'!$B$5:$G$73,6,FALSE),2)</f>
        <v>青森</v>
      </c>
      <c r="H42" s="320"/>
      <c r="I42" s="408"/>
      <c r="J42" s="150"/>
      <c r="K42" s="410"/>
      <c r="L42" s="150"/>
      <c r="M42" s="408"/>
      <c r="N42" s="149" t="str">
        <f>LEFT(VLOOKUP(N41,'参加チーム'!$B$5:$G$73,6,FALSE),2)</f>
        <v>秋田</v>
      </c>
      <c r="O42" s="320"/>
      <c r="P42" s="409"/>
      <c r="Q42" s="323"/>
      <c r="S42" s="22" t="str">
        <f>+"後"&amp;N41&amp;G41</f>
        <v>後北Ｆ北Ａ</v>
      </c>
      <c r="T42" s="23">
        <f>+M41</f>
      </c>
      <c r="U42" s="23">
        <f>+I41</f>
      </c>
      <c r="V42" s="24">
        <f>+B37</f>
        <v>40420</v>
      </c>
      <c r="X42" s="117">
        <f t="shared" si="6"/>
        <v>8</v>
      </c>
      <c r="Y42" s="117">
        <f t="shared" si="7"/>
        <v>31</v>
      </c>
      <c r="Z42" s="117" t="str">
        <f t="shared" si="8"/>
        <v> 8/31</v>
      </c>
      <c r="AA42" s="117" t="str">
        <f t="shared" si="9"/>
        <v>△</v>
      </c>
      <c r="AB42" s="14">
        <f>IF(T42&lt;&gt;"",O41,"")</f>
      </c>
      <c r="AC42" s="117" t="str">
        <f>+Z42&amp;" "&amp;AA42&amp;" "&amp;T42&amp;"-"&amp;U42&amp;" "&amp;H41</f>
        <v> 8/31 △ - Itatica</v>
      </c>
      <c r="AD42" s="14">
        <f>+L41</f>
        <v>0</v>
      </c>
      <c r="AE42" s="14">
        <f>+L42</f>
        <v>0</v>
      </c>
      <c r="AF42" s="14">
        <f>+J41</f>
        <v>0</v>
      </c>
      <c r="AG42" s="14">
        <f>+J42</f>
        <v>0</v>
      </c>
      <c r="AH42" s="121">
        <f t="shared" si="10"/>
        <v>40420</v>
      </c>
    </row>
    <row r="43" spans="1:34" ht="14.25" customHeight="1">
      <c r="A43" s="412">
        <v>7</v>
      </c>
      <c r="B43" s="415">
        <v>40427</v>
      </c>
      <c r="C43" s="404" t="s">
        <v>56</v>
      </c>
      <c r="D43" s="416">
        <v>1</v>
      </c>
      <c r="E43" s="280">
        <v>0.3958333333333333</v>
      </c>
      <c r="F43" s="421">
        <v>0.4375</v>
      </c>
      <c r="G43" s="84" t="s">
        <v>11</v>
      </c>
      <c r="H43" s="318" t="str">
        <f>VLOOKUP(G43,'参加チーム'!$B$5:$G$73,IF($N$2=1,4,5),FALSE)</f>
        <v>ステラミーゴ</v>
      </c>
      <c r="I43" s="416">
        <f>IF(J43&lt;&gt;"",J43+J44,"")</f>
      </c>
      <c r="J43" s="123"/>
      <c r="K43" s="425" t="s">
        <v>86</v>
      </c>
      <c r="L43" s="123"/>
      <c r="M43" s="416">
        <f>IF(L43&lt;&gt;"",L43+L44,"")</f>
      </c>
      <c r="N43" s="84" t="s">
        <v>10</v>
      </c>
      <c r="O43" s="318" t="str">
        <f>VLOOKUP(N43,'参加チーム'!$B$5:$G$73,IF($N$2=1,4,5),FALSE)</f>
        <v>Carioca</v>
      </c>
      <c r="P43" s="429" t="str">
        <f>+O43</f>
        <v>Carioca</v>
      </c>
      <c r="Q43" s="422" t="str">
        <f>+P43</f>
        <v>Carioca</v>
      </c>
      <c r="S43" s="17" t="str">
        <f>+"後"&amp;G43&amp;N43</f>
        <v>後北Ｄ北Ｃ</v>
      </c>
      <c r="T43" s="18">
        <f>IF(I45&lt;&gt;"",I45,"")</f>
      </c>
      <c r="U43" s="18">
        <f>IF(M45&lt;&gt;"",M45,"")</f>
      </c>
      <c r="V43" s="19">
        <f>+B43</f>
        <v>40427</v>
      </c>
      <c r="X43" s="117">
        <f t="shared" si="6"/>
        <v>9</v>
      </c>
      <c r="Y43" s="117">
        <f t="shared" si="7"/>
        <v>7</v>
      </c>
      <c r="Z43" s="117" t="str">
        <f t="shared" si="8"/>
        <v> 9/ 7</v>
      </c>
      <c r="AA43" s="117" t="str">
        <f t="shared" si="9"/>
        <v>△</v>
      </c>
      <c r="AB43" s="14">
        <f>IF(T43&lt;&gt;"",H45,"")</f>
      </c>
      <c r="AC43" s="117" t="str">
        <f>+Z43&amp;" "&amp;AA43&amp;" "&amp;T43&amp;"-"&amp;U43&amp;" "&amp;O45</f>
        <v> 9/ 7 △ - ヴィヴァーレ</v>
      </c>
      <c r="AD43" s="14">
        <f>+J45</f>
        <v>0</v>
      </c>
      <c r="AE43" s="14">
        <f>+J46</f>
        <v>0</v>
      </c>
      <c r="AF43" s="14">
        <f>+L45</f>
        <v>0</v>
      </c>
      <c r="AG43" s="14">
        <f>+L46</f>
        <v>0</v>
      </c>
      <c r="AH43" s="121">
        <f t="shared" si="10"/>
        <v>40427</v>
      </c>
    </row>
    <row r="44" spans="1:34" ht="14.25" customHeight="1">
      <c r="A44" s="413"/>
      <c r="B44" s="295"/>
      <c r="C44" s="405"/>
      <c r="D44" s="417"/>
      <c r="E44" s="281"/>
      <c r="F44" s="417"/>
      <c r="G44" s="85" t="str">
        <f>LEFT(VLOOKUP(G43,'参加チーム'!$B$5:$G$73,6,FALSE),2)</f>
        <v>岩手</v>
      </c>
      <c r="H44" s="317"/>
      <c r="I44" s="417"/>
      <c r="J44" s="116"/>
      <c r="K44" s="426"/>
      <c r="L44" s="116"/>
      <c r="M44" s="417"/>
      <c r="N44" s="85" t="str">
        <f>LEFT(VLOOKUP(N43,'参加チーム'!$B$5:$G$73,6,FALSE),2)</f>
        <v>岩手</v>
      </c>
      <c r="O44" s="317"/>
      <c r="P44" s="427"/>
      <c r="Q44" s="423"/>
      <c r="S44" s="20" t="str">
        <f>+"後"&amp;N43&amp;G43</f>
        <v>後北Ｃ北Ｄ</v>
      </c>
      <c r="T44" s="16">
        <f>IF(M45&lt;&gt;"",M45,"")</f>
      </c>
      <c r="U44" s="16">
        <f>IF(I45&lt;&gt;"",I45,"")</f>
      </c>
      <c r="V44" s="21">
        <f>+B43</f>
        <v>40427</v>
      </c>
      <c r="X44" s="117">
        <f t="shared" si="6"/>
        <v>9</v>
      </c>
      <c r="Y44" s="117">
        <f t="shared" si="7"/>
        <v>7</v>
      </c>
      <c r="Z44" s="117" t="str">
        <f t="shared" si="8"/>
        <v> 9/ 7</v>
      </c>
      <c r="AA44" s="117" t="str">
        <f t="shared" si="9"/>
        <v>△</v>
      </c>
      <c r="AB44" s="14">
        <f>IF(T44&lt;&gt;"",O45,"")</f>
      </c>
      <c r="AC44" s="117" t="str">
        <f>+Z44&amp;" "&amp;AA44&amp;" "&amp;T44&amp;"-"&amp;U44&amp;" "&amp;H45</f>
        <v> 9/ 7 △ - PIETRA</v>
      </c>
      <c r="AD44" s="14">
        <f>+L45</f>
        <v>0</v>
      </c>
      <c r="AE44" s="14">
        <f>+L46</f>
        <v>0</v>
      </c>
      <c r="AF44" s="14">
        <f>+J45</f>
        <v>0</v>
      </c>
      <c r="AG44" s="14">
        <f>+J46</f>
        <v>0</v>
      </c>
      <c r="AH44" s="121">
        <f t="shared" si="10"/>
        <v>40427</v>
      </c>
    </row>
    <row r="45" spans="1:34" ht="14.25" customHeight="1">
      <c r="A45" s="413"/>
      <c r="B45" s="295"/>
      <c r="C45" s="405"/>
      <c r="D45" s="417">
        <v>2</v>
      </c>
      <c r="E45" s="282">
        <v>0.45138888888888895</v>
      </c>
      <c r="F45" s="430">
        <v>0.513888888888889</v>
      </c>
      <c r="G45" s="86" t="s">
        <v>13</v>
      </c>
      <c r="H45" s="316" t="str">
        <f>VLOOKUP(G45,'参加チーム'!$B$5:$G$73,IF($N$2=1,4,5),FALSE)</f>
        <v>PIETRA</v>
      </c>
      <c r="I45" s="417">
        <f>IF(J45&lt;&gt;"",J45+J46,"")</f>
      </c>
      <c r="J45" s="116"/>
      <c r="K45" s="426" t="s">
        <v>86</v>
      </c>
      <c r="L45" s="116"/>
      <c r="M45" s="417">
        <f>IF(L45&lt;&gt;"",L45+L46,"")</f>
      </c>
      <c r="N45" s="86" t="s">
        <v>9</v>
      </c>
      <c r="O45" s="316" t="str">
        <f>VLOOKUP(N45,'参加チーム'!$B$5:$G$73,IF($N$2=1,4,5),FALSE)</f>
        <v>ヴィヴァーレ</v>
      </c>
      <c r="P45" s="427" t="str">
        <f>+O45</f>
        <v>ヴィヴァーレ</v>
      </c>
      <c r="Q45" s="423"/>
      <c r="S45" s="20" t="str">
        <f>+"後"&amp;G45&amp;N45</f>
        <v>後北Ｆ北Ｂ</v>
      </c>
      <c r="T45" s="16">
        <f>IF(I43&lt;&gt;"",I43,"")</f>
      </c>
      <c r="U45" s="16">
        <f>IF(M43&lt;&gt;"",M43,"")</f>
      </c>
      <c r="V45" s="21">
        <f>+B43</f>
        <v>40427</v>
      </c>
      <c r="X45" s="117">
        <f t="shared" si="6"/>
        <v>9</v>
      </c>
      <c r="Y45" s="117">
        <f t="shared" si="7"/>
        <v>7</v>
      </c>
      <c r="Z45" s="117" t="str">
        <f t="shared" si="8"/>
        <v> 9/ 7</v>
      </c>
      <c r="AA45" s="117" t="str">
        <f t="shared" si="9"/>
        <v>△</v>
      </c>
      <c r="AB45" s="14">
        <f>IF(T45&lt;&gt;"",H43,"")</f>
      </c>
      <c r="AC45" s="117" t="str">
        <f>+Z45&amp;" "&amp;AA45&amp;" "&amp;T45&amp;"-"&amp;U45&amp;" "&amp;O43</f>
        <v> 9/ 7 △ - Carioca</v>
      </c>
      <c r="AD45" s="14">
        <f>+J43</f>
        <v>0</v>
      </c>
      <c r="AE45" s="14">
        <f>+J44</f>
        <v>0</v>
      </c>
      <c r="AF45" s="14">
        <f>+L43</f>
        <v>0</v>
      </c>
      <c r="AG45" s="14">
        <f>+L44</f>
        <v>0</v>
      </c>
      <c r="AH45" s="121">
        <f t="shared" si="10"/>
        <v>40427</v>
      </c>
    </row>
    <row r="46" spans="1:34" ht="14.25" customHeight="1">
      <c r="A46" s="413"/>
      <c r="B46" s="295"/>
      <c r="C46" s="418" t="s">
        <v>237</v>
      </c>
      <c r="D46" s="417"/>
      <c r="E46" s="281"/>
      <c r="F46" s="417"/>
      <c r="G46" s="85" t="str">
        <f>LEFT(VLOOKUP(G45,'参加チーム'!$B$5:$G$73,6,FALSE),2)</f>
        <v>秋田</v>
      </c>
      <c r="H46" s="317"/>
      <c r="I46" s="417"/>
      <c r="J46" s="116"/>
      <c r="K46" s="426"/>
      <c r="L46" s="116"/>
      <c r="M46" s="417"/>
      <c r="N46" s="85" t="str">
        <f>LEFT(VLOOKUP(N45,'参加チーム'!$B$5:$G$73,6,FALSE),2)</f>
        <v>岩手</v>
      </c>
      <c r="O46" s="317"/>
      <c r="P46" s="427"/>
      <c r="Q46" s="423"/>
      <c r="S46" s="20" t="str">
        <f>+"後"&amp;N45&amp;G45</f>
        <v>後北Ｂ北Ｆ</v>
      </c>
      <c r="T46" s="16">
        <f>IF(M43&lt;&gt;"",M43,"")</f>
      </c>
      <c r="U46" s="16">
        <f>IF(I43&lt;&gt;"",I43,"")</f>
      </c>
      <c r="V46" s="21">
        <f>+B43</f>
        <v>40427</v>
      </c>
      <c r="X46" s="117">
        <f t="shared" si="6"/>
        <v>9</v>
      </c>
      <c r="Y46" s="117">
        <f t="shared" si="7"/>
        <v>7</v>
      </c>
      <c r="Z46" s="117" t="str">
        <f t="shared" si="8"/>
        <v> 9/ 7</v>
      </c>
      <c r="AA46" s="117" t="str">
        <f t="shared" si="9"/>
        <v>△</v>
      </c>
      <c r="AB46" s="14">
        <f>IF(T46&lt;&gt;"",O43,"")</f>
      </c>
      <c r="AC46" s="117" t="str">
        <f>+Z46&amp;" "&amp;AA46&amp;" "&amp;T46&amp;"-"&amp;U46&amp;" "&amp;H43</f>
        <v> 9/ 7 △ - ステラミーゴ</v>
      </c>
      <c r="AD46" s="14">
        <f>+L43</f>
        <v>0</v>
      </c>
      <c r="AE46" s="14">
        <f>+L44</f>
        <v>0</v>
      </c>
      <c r="AF46" s="14">
        <f>+J43</f>
        <v>0</v>
      </c>
      <c r="AG46" s="14">
        <f>+J44</f>
        <v>0</v>
      </c>
      <c r="AH46" s="121">
        <f t="shared" si="10"/>
        <v>40427</v>
      </c>
    </row>
    <row r="47" spans="1:34" ht="14.25" customHeight="1">
      <c r="A47" s="413"/>
      <c r="B47" s="295"/>
      <c r="C47" s="418"/>
      <c r="D47" s="417">
        <v>3</v>
      </c>
      <c r="E47" s="283">
        <v>0.5277777777777778</v>
      </c>
      <c r="F47" s="430">
        <v>0.5902777777777778</v>
      </c>
      <c r="G47" s="86" t="s">
        <v>12</v>
      </c>
      <c r="H47" s="316" t="str">
        <f>VLOOKUP(G47,'参加チーム'!$B$5:$G$73,IF($N$2=1,4,5),FALSE)</f>
        <v>Rion</v>
      </c>
      <c r="I47" s="417">
        <f>IF(J47&lt;&gt;"",J47+J48,"")</f>
      </c>
      <c r="J47" s="116"/>
      <c r="K47" s="426" t="s">
        <v>86</v>
      </c>
      <c r="L47" s="116"/>
      <c r="M47" s="417">
        <f>IF(L47&lt;&gt;"",L47+L48,"")</f>
      </c>
      <c r="N47" s="86" t="s">
        <v>8</v>
      </c>
      <c r="O47" s="316" t="str">
        <f>VLOOKUP(N47,'参加チーム'!$B$5:$G$73,IF($N$2=1,4,5),FALSE)</f>
        <v>Itatica</v>
      </c>
      <c r="P47" s="427" t="str">
        <f>+O47</f>
        <v>Itatica</v>
      </c>
      <c r="Q47" s="423"/>
      <c r="S47" s="20" t="str">
        <f>+"後"&amp;G47&amp;N47</f>
        <v>後北Ｅ北Ａ</v>
      </c>
      <c r="T47" s="16">
        <f>IF(I47&lt;&gt;"",I47,"")</f>
      </c>
      <c r="U47" s="16">
        <f>IF(M47&lt;&gt;"",M47,"")</f>
      </c>
      <c r="V47" s="21">
        <f>+B43</f>
        <v>40427</v>
      </c>
      <c r="X47" s="117">
        <f t="shared" si="6"/>
        <v>9</v>
      </c>
      <c r="Y47" s="117">
        <f t="shared" si="7"/>
        <v>7</v>
      </c>
      <c r="Z47" s="117" t="str">
        <f t="shared" si="8"/>
        <v> 9/ 7</v>
      </c>
      <c r="AA47" s="117" t="str">
        <f t="shared" si="9"/>
        <v>△</v>
      </c>
      <c r="AB47" s="14">
        <f>IF(T47&lt;&gt;"",H47,"")</f>
      </c>
      <c r="AC47" s="117" t="str">
        <f>+Z47&amp;" "&amp;AA47&amp;" "&amp;T47&amp;"-"&amp;U47&amp;" "&amp;O47</f>
        <v> 9/ 7 △ - Itatica</v>
      </c>
      <c r="AD47" s="14">
        <f>+J47</f>
        <v>0</v>
      </c>
      <c r="AE47" s="14">
        <f>+J48</f>
        <v>0</v>
      </c>
      <c r="AF47" s="14">
        <f>+L47</f>
        <v>0</v>
      </c>
      <c r="AG47" s="14">
        <f>+L48</f>
        <v>0</v>
      </c>
      <c r="AH47" s="121">
        <f t="shared" si="10"/>
        <v>40427</v>
      </c>
    </row>
    <row r="48" spans="1:34" ht="15" customHeight="1" thickBot="1">
      <c r="A48" s="414"/>
      <c r="B48" s="296"/>
      <c r="C48" s="419"/>
      <c r="D48" s="420"/>
      <c r="E48" s="285"/>
      <c r="F48" s="420"/>
      <c r="G48" s="124" t="str">
        <f>LEFT(VLOOKUP(G47,'参加チーム'!$B$5:$G$73,6,FALSE),2)</f>
        <v>秋田</v>
      </c>
      <c r="H48" s="320"/>
      <c r="I48" s="420"/>
      <c r="J48" s="125"/>
      <c r="K48" s="433"/>
      <c r="L48" s="125"/>
      <c r="M48" s="420"/>
      <c r="N48" s="124" t="str">
        <f>LEFT(VLOOKUP(N47,'参加チーム'!$B$5:$G$73,6,FALSE),2)</f>
        <v>青森</v>
      </c>
      <c r="O48" s="320"/>
      <c r="P48" s="428"/>
      <c r="Q48" s="424"/>
      <c r="S48" s="22" t="str">
        <f>+"後"&amp;N47&amp;G47</f>
        <v>後北Ａ北Ｅ</v>
      </c>
      <c r="T48" s="23">
        <f>IF(M47&lt;&gt;"",M47,"")</f>
      </c>
      <c r="U48" s="23">
        <f>IF(I47&lt;&gt;"",I47,"")</f>
      </c>
      <c r="V48" s="24">
        <f>+B43</f>
        <v>40427</v>
      </c>
      <c r="X48" s="117">
        <f t="shared" si="6"/>
        <v>9</v>
      </c>
      <c r="Y48" s="117">
        <f t="shared" si="7"/>
        <v>7</v>
      </c>
      <c r="Z48" s="117" t="str">
        <f t="shared" si="8"/>
        <v> 9/ 7</v>
      </c>
      <c r="AA48" s="117" t="str">
        <f t="shared" si="9"/>
        <v>△</v>
      </c>
      <c r="AB48" s="14">
        <f>IF(T48&lt;&gt;"",O47,"")</f>
      </c>
      <c r="AC48" s="117" t="str">
        <f>+Z48&amp;" "&amp;AA48&amp;" "&amp;T48&amp;"-"&amp;U48&amp;" "&amp;H47</f>
        <v> 9/ 7 △ - Rion</v>
      </c>
      <c r="AD48" s="14">
        <f>+L47</f>
        <v>0</v>
      </c>
      <c r="AE48" s="14">
        <f>+L48</f>
        <v>0</v>
      </c>
      <c r="AF48" s="14">
        <f>+J47</f>
        <v>0</v>
      </c>
      <c r="AG48" s="14">
        <f>+J48</f>
        <v>0</v>
      </c>
      <c r="AH48" s="121">
        <f t="shared" si="10"/>
        <v>40427</v>
      </c>
    </row>
    <row r="49" spans="1:34" ht="14.25" customHeight="1">
      <c r="A49" s="289">
        <v>8</v>
      </c>
      <c r="B49" s="431">
        <v>40455</v>
      </c>
      <c r="C49" s="432" t="s">
        <v>56</v>
      </c>
      <c r="D49" s="411">
        <v>1</v>
      </c>
      <c r="E49" s="280">
        <v>0.3958333333333333</v>
      </c>
      <c r="F49" s="434">
        <v>0.4375</v>
      </c>
      <c r="G49" s="151" t="s">
        <v>8</v>
      </c>
      <c r="H49" s="318" t="str">
        <f>VLOOKUP(G49,'参加チーム'!$B$5:$G$73,IF($N$2=1,4,5),FALSE)</f>
        <v>Itatica</v>
      </c>
      <c r="I49" s="408">
        <f>IF(J49&lt;&gt;"",J49+J50,"")</f>
      </c>
      <c r="J49" s="159"/>
      <c r="K49" s="410" t="s">
        <v>86</v>
      </c>
      <c r="L49" s="159"/>
      <c r="M49" s="408">
        <f>IF(L49&lt;&gt;"",L49+L50,"")</f>
      </c>
      <c r="N49" s="151" t="s">
        <v>11</v>
      </c>
      <c r="O49" s="318" t="str">
        <f>VLOOKUP(N49,'参加チーム'!$B$5:$G$73,IF($N$2=1,4,5),FALSE)</f>
        <v>ステラミーゴ</v>
      </c>
      <c r="P49" s="429" t="str">
        <f>+O49</f>
        <v>ステラミーゴ</v>
      </c>
      <c r="Q49" s="323" t="str">
        <f>+H49</f>
        <v>Itatica</v>
      </c>
      <c r="S49" s="17" t="str">
        <f>+"後"&amp;G49&amp;N49</f>
        <v>後北Ａ北Ｄ</v>
      </c>
      <c r="T49" s="18">
        <f>IF(I53&lt;&gt;"",I53,"")</f>
      </c>
      <c r="U49" s="18">
        <f>IF(M53&lt;&gt;"",M53,"")</f>
      </c>
      <c r="V49" s="19">
        <f>+B49</f>
        <v>40455</v>
      </c>
      <c r="X49" s="117">
        <f t="shared" si="6"/>
        <v>10</v>
      </c>
      <c r="Y49" s="117">
        <f t="shared" si="7"/>
        <v>5</v>
      </c>
      <c r="Z49" s="117" t="str">
        <f t="shared" si="8"/>
        <v>10/ 5</v>
      </c>
      <c r="AA49" s="117" t="str">
        <f t="shared" si="9"/>
        <v>△</v>
      </c>
      <c r="AB49" s="14">
        <f>IF(T49&lt;&gt;"",H53,"")</f>
      </c>
      <c r="AC49" s="117" t="str">
        <f>+Z49&amp;" "&amp;AA49&amp;" "&amp;T49&amp;"-"&amp;U49&amp;" "&amp;O53</f>
        <v>10/ 5 △ - PIETRA</v>
      </c>
      <c r="AD49" s="14">
        <f>+J53</f>
        <v>0</v>
      </c>
      <c r="AE49" s="14">
        <f>+J54</f>
        <v>0</v>
      </c>
      <c r="AF49" s="14">
        <f>+L53</f>
        <v>0</v>
      </c>
      <c r="AG49" s="14">
        <f>+L54</f>
        <v>0</v>
      </c>
      <c r="AH49" s="121">
        <f t="shared" si="10"/>
        <v>40455</v>
      </c>
    </row>
    <row r="50" spans="1:34" ht="14.25" customHeight="1">
      <c r="A50" s="289"/>
      <c r="B50" s="328"/>
      <c r="C50" s="405"/>
      <c r="D50" s="309"/>
      <c r="E50" s="281"/>
      <c r="F50" s="281"/>
      <c r="G50" s="85" t="str">
        <f>LEFT(VLOOKUP(G49,'参加チーム'!$B$5:$G$73,6,FALSE),2)</f>
        <v>青森</v>
      </c>
      <c r="H50" s="317"/>
      <c r="I50" s="408"/>
      <c r="J50" s="150"/>
      <c r="K50" s="410"/>
      <c r="L50" s="150"/>
      <c r="M50" s="408"/>
      <c r="N50" s="149" t="str">
        <f>LEFT(VLOOKUP(N49,'参加チーム'!$B$5:$G$73,6,FALSE),2)</f>
        <v>岩手</v>
      </c>
      <c r="O50" s="317"/>
      <c r="P50" s="427"/>
      <c r="Q50" s="323"/>
      <c r="S50" s="20" t="str">
        <f>+"後"&amp;N49&amp;G49</f>
        <v>後北Ｄ北Ａ</v>
      </c>
      <c r="T50" s="16">
        <f>IF(M53&lt;&gt;"",M53,"")</f>
      </c>
      <c r="U50" s="16">
        <f>IF(I53&lt;&gt;"",I53,"")</f>
      </c>
      <c r="V50" s="21">
        <f>+B49</f>
        <v>40455</v>
      </c>
      <c r="X50" s="117">
        <f t="shared" si="6"/>
        <v>10</v>
      </c>
      <c r="Y50" s="117">
        <f t="shared" si="7"/>
        <v>5</v>
      </c>
      <c r="Z50" s="117" t="str">
        <f t="shared" si="8"/>
        <v>10/ 5</v>
      </c>
      <c r="AA50" s="117" t="str">
        <f t="shared" si="9"/>
        <v>△</v>
      </c>
      <c r="AB50" s="14">
        <f>IF(T50&lt;&gt;"",O53,"")</f>
      </c>
      <c r="AC50" s="117" t="str">
        <f>+Z50&amp;" "&amp;AA50&amp;" "&amp;T50&amp;"-"&amp;U50&amp;" "&amp;H53</f>
        <v>10/ 5 △ - Rion</v>
      </c>
      <c r="AD50" s="14">
        <f>+L53</f>
        <v>0</v>
      </c>
      <c r="AE50" s="14">
        <f>+L54</f>
        <v>0</v>
      </c>
      <c r="AF50" s="14">
        <f>+J53</f>
        <v>0</v>
      </c>
      <c r="AG50" s="14">
        <f>+J54</f>
        <v>0</v>
      </c>
      <c r="AH50" s="121">
        <f t="shared" si="10"/>
        <v>40455</v>
      </c>
    </row>
    <row r="51" spans="1:34" ht="14.25" customHeight="1">
      <c r="A51" s="289"/>
      <c r="B51" s="328"/>
      <c r="C51" s="405"/>
      <c r="D51" s="297">
        <v>2</v>
      </c>
      <c r="E51" s="282">
        <v>0.45138888888888895</v>
      </c>
      <c r="F51" s="282">
        <v>0.513888888888889</v>
      </c>
      <c r="G51" s="86" t="s">
        <v>10</v>
      </c>
      <c r="H51" s="316" t="str">
        <f>VLOOKUP(G51,'参加チーム'!$B$5:$G$73,IF($N$2=1,4,5),FALSE)</f>
        <v>Carioca</v>
      </c>
      <c r="I51" s="304">
        <f>IF(J51&lt;&gt;"",J51+J52,"")</f>
      </c>
      <c r="J51" s="116"/>
      <c r="K51" s="303" t="s">
        <v>86</v>
      </c>
      <c r="L51" s="116"/>
      <c r="M51" s="304">
        <f>IF(L51&lt;&gt;"",L51+L52,"")</f>
      </c>
      <c r="N51" s="86" t="s">
        <v>9</v>
      </c>
      <c r="O51" s="316" t="str">
        <f>VLOOKUP(N51,'参加チーム'!$B$5:$G$73,IF($N$2=1,4,5),FALSE)</f>
        <v>ヴィヴァーレ</v>
      </c>
      <c r="P51" s="325" t="str">
        <f>+O51</f>
        <v>ヴィヴァーレ</v>
      </c>
      <c r="Q51" s="323"/>
      <c r="S51" s="20" t="str">
        <f>+"後"&amp;G51&amp;N51</f>
        <v>後北Ｃ北Ｂ</v>
      </c>
      <c r="T51" s="16">
        <f>IF(I51&lt;&gt;"",I51,"")</f>
      </c>
      <c r="U51" s="16">
        <f>IF(M51&lt;&gt;"",M51,"")</f>
      </c>
      <c r="V51" s="21">
        <f>+B49</f>
        <v>40455</v>
      </c>
      <c r="X51" s="117">
        <f t="shared" si="6"/>
        <v>10</v>
      </c>
      <c r="Y51" s="117">
        <f t="shared" si="7"/>
        <v>5</v>
      </c>
      <c r="Z51" s="117" t="str">
        <f t="shared" si="8"/>
        <v>10/ 5</v>
      </c>
      <c r="AA51" s="117" t="str">
        <f t="shared" si="9"/>
        <v>△</v>
      </c>
      <c r="AB51" s="14">
        <f>IF(T51&lt;&gt;"",H51,"")</f>
      </c>
      <c r="AC51" s="117" t="str">
        <f>+Z51&amp;" "&amp;AA51&amp;" "&amp;T51&amp;"-"&amp;U51&amp;" "&amp;O51</f>
        <v>10/ 5 △ - ヴィヴァーレ</v>
      </c>
      <c r="AD51" s="14">
        <f>+J51</f>
        <v>0</v>
      </c>
      <c r="AE51" s="14">
        <f>+J52</f>
        <v>0</v>
      </c>
      <c r="AF51" s="14">
        <f>+L51</f>
        <v>0</v>
      </c>
      <c r="AG51" s="14">
        <f>+L52</f>
        <v>0</v>
      </c>
      <c r="AH51" s="121">
        <f t="shared" si="10"/>
        <v>40455</v>
      </c>
    </row>
    <row r="52" spans="1:34" ht="14.25" customHeight="1">
      <c r="A52" s="289"/>
      <c r="B52" s="328"/>
      <c r="C52" s="406" t="s">
        <v>173</v>
      </c>
      <c r="D52" s="309"/>
      <c r="E52" s="281"/>
      <c r="F52" s="281"/>
      <c r="G52" s="85" t="str">
        <f>LEFT(VLOOKUP(G51,'参加チーム'!$B$5:$G$73,6,FALSE),2)</f>
        <v>岩手</v>
      </c>
      <c r="H52" s="317"/>
      <c r="I52" s="281"/>
      <c r="J52" s="116"/>
      <c r="K52" s="302"/>
      <c r="L52" s="116"/>
      <c r="M52" s="281"/>
      <c r="N52" s="85" t="str">
        <f>LEFT(VLOOKUP(N51,'参加チーム'!$B$5:$G$73,6,FALSE),2)</f>
        <v>岩手</v>
      </c>
      <c r="O52" s="317"/>
      <c r="P52" s="307"/>
      <c r="Q52" s="323"/>
      <c r="S52" s="20" t="str">
        <f>+"後"&amp;N51&amp;G51</f>
        <v>後北Ｂ北Ｃ</v>
      </c>
      <c r="T52" s="16">
        <f>IF(M51&lt;&gt;"",M51,"")</f>
      </c>
      <c r="U52" s="16">
        <f>IF(I51&lt;&gt;"",I51,"")</f>
      </c>
      <c r="V52" s="21">
        <f>+B49</f>
        <v>40455</v>
      </c>
      <c r="X52" s="117">
        <f t="shared" si="6"/>
        <v>10</v>
      </c>
      <c r="Y52" s="117">
        <f t="shared" si="7"/>
        <v>5</v>
      </c>
      <c r="Z52" s="117" t="str">
        <f t="shared" si="8"/>
        <v>10/ 5</v>
      </c>
      <c r="AA52" s="117" t="str">
        <f t="shared" si="9"/>
        <v>△</v>
      </c>
      <c r="AB52" s="14">
        <f>IF(T52&lt;&gt;"",O51,"")</f>
      </c>
      <c r="AC52" s="117" t="str">
        <f>+Z52&amp;" "&amp;AA52&amp;" "&amp;T52&amp;"-"&amp;U52&amp;" "&amp;H51</f>
        <v>10/ 5 △ - Carioca</v>
      </c>
      <c r="AD52" s="14">
        <f>+L51</f>
        <v>0</v>
      </c>
      <c r="AE52" s="14">
        <f>+L52</f>
        <v>0</v>
      </c>
      <c r="AF52" s="14">
        <f>+J51</f>
        <v>0</v>
      </c>
      <c r="AG52" s="14">
        <f>+J52</f>
        <v>0</v>
      </c>
      <c r="AH52" s="121">
        <f t="shared" si="10"/>
        <v>40455</v>
      </c>
    </row>
    <row r="53" spans="1:34" ht="14.25" customHeight="1">
      <c r="A53" s="289"/>
      <c r="B53" s="328"/>
      <c r="C53" s="406"/>
      <c r="D53" s="297">
        <v>3</v>
      </c>
      <c r="E53" s="283">
        <v>0.5277777777777778</v>
      </c>
      <c r="F53" s="282">
        <v>0.5902777777777778</v>
      </c>
      <c r="G53" s="86" t="s">
        <v>12</v>
      </c>
      <c r="H53" s="316" t="str">
        <f>VLOOKUP(G53,'参加チーム'!$B$5:$G$73,IF($N$2=1,4,5),FALSE)</f>
        <v>Rion</v>
      </c>
      <c r="I53" s="408">
        <f>IF(J53&lt;&gt;"",J53+J54,"")</f>
      </c>
      <c r="J53" s="159"/>
      <c r="K53" s="410" t="s">
        <v>86</v>
      </c>
      <c r="L53" s="159"/>
      <c r="M53" s="408">
        <f>IF(L53&lt;&gt;"",L53+L54,"")</f>
      </c>
      <c r="N53" s="151" t="s">
        <v>13</v>
      </c>
      <c r="O53" s="316" t="str">
        <f>VLOOKUP(N53,'参加チーム'!$B$5:$G$73,IF($N$2=1,4,5),FALSE)</f>
        <v>PIETRA</v>
      </c>
      <c r="P53" s="427" t="str">
        <f>+O53</f>
        <v>PIETRA</v>
      </c>
      <c r="Q53" s="323"/>
      <c r="S53" s="20" t="str">
        <f>+"後"&amp;G53&amp;N53</f>
        <v>後北Ｅ北Ｆ</v>
      </c>
      <c r="T53" s="16">
        <f>IF(I49&lt;&gt;"",I49,"")</f>
      </c>
      <c r="U53" s="16">
        <f>IF(M49&lt;&gt;"",M49,"")</f>
      </c>
      <c r="V53" s="21">
        <f>+B49</f>
        <v>40455</v>
      </c>
      <c r="X53" s="117">
        <f t="shared" si="6"/>
        <v>10</v>
      </c>
      <c r="Y53" s="117">
        <f t="shared" si="7"/>
        <v>5</v>
      </c>
      <c r="Z53" s="117" t="str">
        <f t="shared" si="8"/>
        <v>10/ 5</v>
      </c>
      <c r="AA53" s="117" t="str">
        <f t="shared" si="9"/>
        <v>△</v>
      </c>
      <c r="AB53" s="14">
        <f>IF(T53&lt;&gt;"",H49,"")</f>
      </c>
      <c r="AC53" s="117" t="str">
        <f>+Z53&amp;" "&amp;AA53&amp;" "&amp;T53&amp;"-"&amp;U53&amp;" "&amp;O49</f>
        <v>10/ 5 △ - ステラミーゴ</v>
      </c>
      <c r="AD53" s="14">
        <f>+J49</f>
        <v>0</v>
      </c>
      <c r="AE53" s="14">
        <f>+J50</f>
        <v>0</v>
      </c>
      <c r="AF53" s="14">
        <f>+L49</f>
        <v>0</v>
      </c>
      <c r="AG53" s="14">
        <f>+L50</f>
        <v>0</v>
      </c>
      <c r="AH53" s="121">
        <f t="shared" si="10"/>
        <v>40455</v>
      </c>
    </row>
    <row r="54" spans="1:34" ht="15" customHeight="1" thickBot="1">
      <c r="A54" s="289"/>
      <c r="B54" s="328"/>
      <c r="C54" s="406"/>
      <c r="D54" s="411"/>
      <c r="E54" s="285"/>
      <c r="F54" s="408"/>
      <c r="G54" s="149" t="str">
        <f>LEFT(VLOOKUP(G53,'参加チーム'!$B$5:$G$73,6,FALSE),2)</f>
        <v>秋田</v>
      </c>
      <c r="H54" s="320"/>
      <c r="I54" s="408"/>
      <c r="J54" s="150"/>
      <c r="K54" s="410"/>
      <c r="L54" s="150"/>
      <c r="M54" s="408"/>
      <c r="N54" s="149" t="str">
        <f>LEFT(VLOOKUP(N53,'参加チーム'!$B$5:$G$73,6,FALSE),2)</f>
        <v>秋田</v>
      </c>
      <c r="O54" s="320"/>
      <c r="P54" s="428"/>
      <c r="Q54" s="323"/>
      <c r="S54" s="22" t="str">
        <f>+"後"&amp;N53&amp;G53</f>
        <v>後北Ｆ北Ｅ</v>
      </c>
      <c r="T54" s="23">
        <f>IF(M49&lt;&gt;"",M49,"")</f>
      </c>
      <c r="U54" s="23">
        <f>IF(I49&lt;&gt;"",I49,"")</f>
      </c>
      <c r="V54" s="24">
        <f>+B49</f>
        <v>40455</v>
      </c>
      <c r="X54" s="117">
        <f t="shared" si="6"/>
        <v>10</v>
      </c>
      <c r="Y54" s="117">
        <f t="shared" si="7"/>
        <v>5</v>
      </c>
      <c r="Z54" s="117" t="str">
        <f t="shared" si="8"/>
        <v>10/ 5</v>
      </c>
      <c r="AA54" s="117" t="str">
        <f t="shared" si="9"/>
        <v>△</v>
      </c>
      <c r="AB54" s="14">
        <f>IF(T54&lt;&gt;"",O49,"")</f>
      </c>
      <c r="AC54" s="117" t="str">
        <f>+Z54&amp;" "&amp;AA54&amp;" "&amp;T54&amp;"-"&amp;U54&amp;" "&amp;H49</f>
        <v>10/ 5 △ - Itatica</v>
      </c>
      <c r="AD54" s="14">
        <f>+L49</f>
        <v>0</v>
      </c>
      <c r="AE54" s="14">
        <f>+L50</f>
        <v>0</v>
      </c>
      <c r="AF54" s="14">
        <f>+J49</f>
        <v>0</v>
      </c>
      <c r="AG54" s="14">
        <f>+J50</f>
        <v>0</v>
      </c>
      <c r="AH54" s="121">
        <f t="shared" si="10"/>
        <v>40455</v>
      </c>
    </row>
    <row r="55" spans="1:34" ht="14.25" customHeight="1">
      <c r="A55" s="412">
        <v>9</v>
      </c>
      <c r="B55" s="415">
        <v>40463</v>
      </c>
      <c r="C55" s="404" t="s">
        <v>57</v>
      </c>
      <c r="D55" s="416">
        <v>1</v>
      </c>
      <c r="E55" s="280">
        <v>0.3958333333333333</v>
      </c>
      <c r="F55" s="421">
        <v>0.4375</v>
      </c>
      <c r="G55" s="84" t="s">
        <v>9</v>
      </c>
      <c r="H55" s="318" t="str">
        <f>VLOOKUP(G55,'参加チーム'!$B$5:$G$73,IF($N$2=1,4,5),FALSE)</f>
        <v>ヴィヴァーレ</v>
      </c>
      <c r="I55" s="416">
        <f>IF(J55&lt;&gt;"",J55+J56,"")</f>
      </c>
      <c r="J55" s="123"/>
      <c r="K55" s="425" t="s">
        <v>86</v>
      </c>
      <c r="L55" s="123"/>
      <c r="M55" s="416">
        <f>IF(L55&lt;&gt;"",L55+L56,"")</f>
      </c>
      <c r="N55" s="84" t="s">
        <v>8</v>
      </c>
      <c r="O55" s="318" t="str">
        <f>VLOOKUP(N55,'参加チーム'!$B$5:$G$73,IF($N$2=1,4,5),FALSE)</f>
        <v>Itatica</v>
      </c>
      <c r="P55" s="429" t="str">
        <f>+O55</f>
        <v>Itatica</v>
      </c>
      <c r="Q55" s="422" t="str">
        <f>+H55</f>
        <v>ヴィヴァーレ</v>
      </c>
      <c r="S55" s="17" t="str">
        <f>+"後"&amp;G55&amp;N55</f>
        <v>後北Ｂ北Ａ</v>
      </c>
      <c r="T55" s="18">
        <f>IF(I59&lt;&gt;"",I59,"")</f>
      </c>
      <c r="U55" s="18">
        <f>IF(M59&lt;&gt;"",M59,"")</f>
      </c>
      <c r="V55" s="19">
        <f>+B55</f>
        <v>40463</v>
      </c>
      <c r="X55" s="117">
        <f t="shared" si="6"/>
        <v>10</v>
      </c>
      <c r="Y55" s="117">
        <f t="shared" si="7"/>
        <v>13</v>
      </c>
      <c r="Z55" s="117" t="str">
        <f t="shared" si="8"/>
        <v>10/13</v>
      </c>
      <c r="AA55" s="117" t="str">
        <f t="shared" si="9"/>
        <v>△</v>
      </c>
      <c r="AB55" s="14">
        <f>IF(T55&lt;&gt;"",H59,"")</f>
      </c>
      <c r="AC55" s="117" t="str">
        <f>+Z55&amp;" "&amp;AA55&amp;" "&amp;T55&amp;"-"&amp;U55&amp;" "&amp;O59</f>
        <v>10/13 △ - Rion</v>
      </c>
      <c r="AD55" s="14">
        <f>+J59</f>
        <v>0</v>
      </c>
      <c r="AE55" s="14">
        <f>+J60</f>
        <v>0</v>
      </c>
      <c r="AF55" s="14">
        <f>+L59</f>
        <v>0</v>
      </c>
      <c r="AG55" s="14">
        <f>+L60</f>
        <v>0</v>
      </c>
      <c r="AH55" s="121">
        <f t="shared" si="10"/>
        <v>40463</v>
      </c>
    </row>
    <row r="56" spans="1:34" ht="14.25" customHeight="1">
      <c r="A56" s="413"/>
      <c r="B56" s="295"/>
      <c r="C56" s="405"/>
      <c r="D56" s="417"/>
      <c r="E56" s="281"/>
      <c r="F56" s="417"/>
      <c r="G56" s="85" t="str">
        <f>LEFT(VLOOKUP(G55,'参加チーム'!$B$5:$G$73,6,FALSE),2)</f>
        <v>岩手</v>
      </c>
      <c r="H56" s="317"/>
      <c r="I56" s="417"/>
      <c r="J56" s="116"/>
      <c r="K56" s="426"/>
      <c r="L56" s="116"/>
      <c r="M56" s="417"/>
      <c r="N56" s="85" t="str">
        <f>LEFT(VLOOKUP(N55,'参加チーム'!$B$5:$G$73,6,FALSE),2)</f>
        <v>青森</v>
      </c>
      <c r="O56" s="317"/>
      <c r="P56" s="427"/>
      <c r="Q56" s="423"/>
      <c r="S56" s="20" t="str">
        <f>+"後"&amp;N55&amp;G55</f>
        <v>後北Ａ北Ｂ</v>
      </c>
      <c r="T56" s="16">
        <f>IF(M59&lt;&gt;"",M59,"")</f>
      </c>
      <c r="U56" s="16">
        <f>IF(I59&lt;&gt;"",I59,"")</f>
      </c>
      <c r="V56" s="21">
        <f>+B55</f>
        <v>40463</v>
      </c>
      <c r="X56" s="117">
        <f t="shared" si="6"/>
        <v>10</v>
      </c>
      <c r="Y56" s="117">
        <f t="shared" si="7"/>
        <v>13</v>
      </c>
      <c r="Z56" s="117" t="str">
        <f t="shared" si="8"/>
        <v>10/13</v>
      </c>
      <c r="AA56" s="117" t="str">
        <f t="shared" si="9"/>
        <v>△</v>
      </c>
      <c r="AB56" s="14">
        <f>IF(T56&lt;&gt;"",O59,"")</f>
      </c>
      <c r="AC56" s="117" t="str">
        <f>+Z56&amp;" "&amp;AA56&amp;" "&amp;T56&amp;"-"&amp;U56&amp;" "&amp;H59</f>
        <v>10/13 △ - ステラミーゴ</v>
      </c>
      <c r="AD56" s="14">
        <f>+L59</f>
        <v>0</v>
      </c>
      <c r="AE56" s="14">
        <f>+L60</f>
        <v>0</v>
      </c>
      <c r="AF56" s="14">
        <f>+J59</f>
        <v>0</v>
      </c>
      <c r="AG56" s="14">
        <f>+J60</f>
        <v>0</v>
      </c>
      <c r="AH56" s="121">
        <f t="shared" si="10"/>
        <v>40463</v>
      </c>
    </row>
    <row r="57" spans="1:34" ht="14.25" customHeight="1">
      <c r="A57" s="413"/>
      <c r="B57" s="295"/>
      <c r="C57" s="405"/>
      <c r="D57" s="417">
        <v>2</v>
      </c>
      <c r="E57" s="282">
        <v>0.45138888888888895</v>
      </c>
      <c r="F57" s="430">
        <v>0.513888888888889</v>
      </c>
      <c r="G57" s="86" t="s">
        <v>10</v>
      </c>
      <c r="H57" s="316" t="str">
        <f>VLOOKUP(G57,'参加チーム'!$B$5:$G$73,IF($N$2=1,4,5),FALSE)</f>
        <v>Carioca</v>
      </c>
      <c r="I57" s="417">
        <f>IF(J57&lt;&gt;"",J57+J58,"")</f>
      </c>
      <c r="J57" s="116"/>
      <c r="K57" s="426" t="s">
        <v>86</v>
      </c>
      <c r="L57" s="116"/>
      <c r="M57" s="417">
        <f>IF(L57&lt;&gt;"",L57+L58,"")</f>
      </c>
      <c r="N57" s="86" t="s">
        <v>13</v>
      </c>
      <c r="O57" s="316" t="str">
        <f>VLOOKUP(N57,'参加チーム'!$B$5:$G$73,IF($N$2=1,4,5),FALSE)</f>
        <v>PIETRA</v>
      </c>
      <c r="P57" s="427" t="str">
        <f>+O57</f>
        <v>PIETRA</v>
      </c>
      <c r="Q57" s="423"/>
      <c r="S57" s="20" t="str">
        <f>+"後"&amp;G57&amp;N57</f>
        <v>後北Ｃ北Ｆ</v>
      </c>
      <c r="T57" s="16">
        <f>IF(I57&lt;&gt;"",I57,"")</f>
      </c>
      <c r="U57" s="16">
        <f>IF(M57&lt;&gt;"",M57,"")</f>
      </c>
      <c r="V57" s="21">
        <f>+B55</f>
        <v>40463</v>
      </c>
      <c r="X57" s="117">
        <f t="shared" si="6"/>
        <v>10</v>
      </c>
      <c r="Y57" s="117">
        <f t="shared" si="7"/>
        <v>13</v>
      </c>
      <c r="Z57" s="117" t="str">
        <f t="shared" si="8"/>
        <v>10/13</v>
      </c>
      <c r="AA57" s="117" t="str">
        <f t="shared" si="9"/>
        <v>△</v>
      </c>
      <c r="AB57" s="14">
        <f>IF(T57&lt;&gt;"",H57,"")</f>
      </c>
      <c r="AC57" s="117" t="str">
        <f>+Z57&amp;" "&amp;AA57&amp;" "&amp;T57&amp;"-"&amp;U57&amp;" "&amp;O57</f>
        <v>10/13 △ - PIETRA</v>
      </c>
      <c r="AD57" s="14">
        <f>+J57</f>
        <v>0</v>
      </c>
      <c r="AE57" s="14">
        <f>+J58</f>
        <v>0</v>
      </c>
      <c r="AF57" s="14">
        <f>+L57</f>
        <v>0</v>
      </c>
      <c r="AG57" s="14">
        <f>+L58</f>
        <v>0</v>
      </c>
      <c r="AH57" s="121">
        <f t="shared" si="10"/>
        <v>40463</v>
      </c>
    </row>
    <row r="58" spans="1:34" ht="14.25" customHeight="1">
      <c r="A58" s="413"/>
      <c r="B58" s="295"/>
      <c r="C58" s="418" t="s">
        <v>42</v>
      </c>
      <c r="D58" s="417"/>
      <c r="E58" s="281"/>
      <c r="F58" s="417"/>
      <c r="G58" s="85" t="str">
        <f>LEFT(VLOOKUP(G57,'参加チーム'!$B$5:$G$73,6,FALSE),2)</f>
        <v>岩手</v>
      </c>
      <c r="H58" s="317"/>
      <c r="I58" s="417"/>
      <c r="J58" s="116"/>
      <c r="K58" s="426"/>
      <c r="L58" s="116"/>
      <c r="M58" s="417"/>
      <c r="N58" s="85" t="str">
        <f>LEFT(VLOOKUP(N57,'参加チーム'!$B$5:$G$73,6,FALSE),2)</f>
        <v>秋田</v>
      </c>
      <c r="O58" s="317"/>
      <c r="P58" s="427"/>
      <c r="Q58" s="423"/>
      <c r="S58" s="20" t="str">
        <f>+"後"&amp;N57&amp;G57</f>
        <v>後北Ｆ北Ｃ</v>
      </c>
      <c r="T58" s="16">
        <f>IF(M57&lt;&gt;"",M57,"")</f>
      </c>
      <c r="U58" s="16">
        <f>IF(I57&lt;&gt;"",I57,"")</f>
      </c>
      <c r="V58" s="21">
        <f>+B55</f>
        <v>40463</v>
      </c>
      <c r="X58" s="117">
        <f t="shared" si="6"/>
        <v>10</v>
      </c>
      <c r="Y58" s="117">
        <f t="shared" si="7"/>
        <v>13</v>
      </c>
      <c r="Z58" s="117" t="str">
        <f t="shared" si="8"/>
        <v>10/13</v>
      </c>
      <c r="AA58" s="117" t="str">
        <f t="shared" si="9"/>
        <v>△</v>
      </c>
      <c r="AB58" s="14">
        <f>IF(T58&lt;&gt;"",O57,"")</f>
      </c>
      <c r="AC58" s="117" t="str">
        <f>+Z58&amp;" "&amp;AA58&amp;" "&amp;T58&amp;"-"&amp;U58&amp;" "&amp;H57</f>
        <v>10/13 △ - Carioca</v>
      </c>
      <c r="AD58" s="14">
        <f>+L57</f>
        <v>0</v>
      </c>
      <c r="AE58" s="14">
        <f>+L58</f>
        <v>0</v>
      </c>
      <c r="AF58" s="14">
        <f>+J57</f>
        <v>0</v>
      </c>
      <c r="AG58" s="14">
        <f>+J58</f>
        <v>0</v>
      </c>
      <c r="AH58" s="121">
        <f t="shared" si="10"/>
        <v>40463</v>
      </c>
    </row>
    <row r="59" spans="1:34" ht="14.25" customHeight="1">
      <c r="A59" s="413"/>
      <c r="B59" s="295"/>
      <c r="C59" s="418"/>
      <c r="D59" s="417">
        <v>3</v>
      </c>
      <c r="E59" s="283">
        <v>0.5277777777777778</v>
      </c>
      <c r="F59" s="430">
        <v>0.5902777777777778</v>
      </c>
      <c r="G59" s="86" t="s">
        <v>11</v>
      </c>
      <c r="H59" s="316" t="str">
        <f>VLOOKUP(G59,'参加チーム'!$B$5:$G$73,IF($N$2=1,4,5),FALSE)</f>
        <v>ステラミーゴ</v>
      </c>
      <c r="I59" s="417">
        <f>IF(J59&lt;&gt;"",J59+J60,"")</f>
      </c>
      <c r="J59" s="116"/>
      <c r="K59" s="426" t="s">
        <v>86</v>
      </c>
      <c r="L59" s="116"/>
      <c r="M59" s="417">
        <f>IF(L59&lt;&gt;"",L59+L60,"")</f>
      </c>
      <c r="N59" s="86" t="s">
        <v>12</v>
      </c>
      <c r="O59" s="316" t="str">
        <f>VLOOKUP(N59,'参加チーム'!$B$5:$G$73,IF($N$2=1,4,5),FALSE)</f>
        <v>Rion</v>
      </c>
      <c r="P59" s="427" t="str">
        <f>+O59</f>
        <v>Rion</v>
      </c>
      <c r="Q59" s="423"/>
      <c r="S59" s="20" t="str">
        <f>+"後"&amp;G59&amp;N59</f>
        <v>後北Ｄ北Ｅ</v>
      </c>
      <c r="T59" s="16">
        <f>IF(I55&lt;&gt;"",I55,"")</f>
      </c>
      <c r="U59" s="16">
        <f>IF(M55&lt;&gt;"",M55,"")</f>
      </c>
      <c r="V59" s="21">
        <f>+B55</f>
        <v>40463</v>
      </c>
      <c r="X59" s="117">
        <f t="shared" si="6"/>
        <v>10</v>
      </c>
      <c r="Y59" s="117">
        <f t="shared" si="7"/>
        <v>13</v>
      </c>
      <c r="Z59" s="117" t="str">
        <f t="shared" si="8"/>
        <v>10/13</v>
      </c>
      <c r="AA59" s="117" t="str">
        <f t="shared" si="9"/>
        <v>△</v>
      </c>
      <c r="AB59" s="14">
        <f>IF(T59&lt;&gt;"",H55,"")</f>
      </c>
      <c r="AC59" s="117" t="str">
        <f>+Z59&amp;" "&amp;AA59&amp;" "&amp;T59&amp;"-"&amp;U59&amp;" "&amp;O55</f>
        <v>10/13 △ - Itatica</v>
      </c>
      <c r="AD59" s="14">
        <f>+J55</f>
        <v>0</v>
      </c>
      <c r="AE59" s="14">
        <f>+J56</f>
        <v>0</v>
      </c>
      <c r="AF59" s="14">
        <f>+L55</f>
        <v>0</v>
      </c>
      <c r="AG59" s="14">
        <f>+L56</f>
        <v>0</v>
      </c>
      <c r="AH59" s="121">
        <f t="shared" si="10"/>
        <v>40463</v>
      </c>
    </row>
    <row r="60" spans="1:34" ht="15" customHeight="1" thickBot="1">
      <c r="A60" s="414"/>
      <c r="B60" s="296"/>
      <c r="C60" s="419"/>
      <c r="D60" s="420"/>
      <c r="E60" s="285"/>
      <c r="F60" s="420"/>
      <c r="G60" s="124" t="str">
        <f>LEFT(VLOOKUP(G59,'参加チーム'!$B$5:$G$73,6,FALSE),2)</f>
        <v>岩手</v>
      </c>
      <c r="H60" s="320"/>
      <c r="I60" s="420"/>
      <c r="J60" s="125"/>
      <c r="K60" s="433"/>
      <c r="L60" s="125"/>
      <c r="M60" s="420"/>
      <c r="N60" s="124" t="str">
        <f>LEFT(VLOOKUP(N59,'参加チーム'!$B$5:$G$73,6,FALSE),2)</f>
        <v>秋田</v>
      </c>
      <c r="O60" s="320"/>
      <c r="P60" s="428"/>
      <c r="Q60" s="424"/>
      <c r="S60" s="22" t="str">
        <f>+"後"&amp;N59&amp;G59</f>
        <v>後北Ｅ北Ｄ</v>
      </c>
      <c r="T60" s="23">
        <f>IF(M55&lt;&gt;"",M55,"")</f>
      </c>
      <c r="U60" s="23">
        <f>IF(I55&lt;&gt;"",I55,"")</f>
      </c>
      <c r="V60" s="24">
        <f>+B55</f>
        <v>40463</v>
      </c>
      <c r="X60" s="14">
        <f t="shared" si="6"/>
        <v>10</v>
      </c>
      <c r="Y60" s="14">
        <f t="shared" si="7"/>
        <v>13</v>
      </c>
      <c r="Z60" s="14" t="str">
        <f t="shared" si="8"/>
        <v>10/13</v>
      </c>
      <c r="AA60" s="14" t="str">
        <f t="shared" si="9"/>
        <v>△</v>
      </c>
      <c r="AB60" s="14">
        <f>IF(T60&lt;&gt;"",O55,"")</f>
      </c>
      <c r="AC60" s="117" t="str">
        <f>+Z60&amp;" "&amp;AA60&amp;" "&amp;T60&amp;"-"&amp;U60&amp;" "&amp;H55</f>
        <v>10/13 △ - ヴィヴァーレ</v>
      </c>
      <c r="AD60" s="14">
        <f>+L55</f>
        <v>0</v>
      </c>
      <c r="AE60" s="14">
        <f>+L56</f>
        <v>0</v>
      </c>
      <c r="AF60" s="14">
        <f>+J55</f>
        <v>0</v>
      </c>
      <c r="AG60" s="14">
        <f>+J56</f>
        <v>0</v>
      </c>
      <c r="AH60" s="121">
        <f t="shared" si="10"/>
        <v>40463</v>
      </c>
    </row>
    <row r="61" spans="1:34" ht="14.25" customHeight="1">
      <c r="A61" s="289">
        <v>10</v>
      </c>
      <c r="B61" s="431">
        <v>40476</v>
      </c>
      <c r="C61" s="435" t="s">
        <v>57</v>
      </c>
      <c r="D61" s="411">
        <v>1</v>
      </c>
      <c r="E61" s="280">
        <v>0.3958333333333333</v>
      </c>
      <c r="F61" s="434">
        <v>0.4375</v>
      </c>
      <c r="G61" s="151" t="s">
        <v>9</v>
      </c>
      <c r="H61" s="318" t="str">
        <f>VLOOKUP(G61,'参加チーム'!$B$5:$G$73,IF($N$2=1,4,5),FALSE)</f>
        <v>ヴィヴァーレ</v>
      </c>
      <c r="I61" s="408">
        <f>IF(J61&lt;&gt;"",J61+J62,"")</f>
      </c>
      <c r="J61" s="159"/>
      <c r="K61" s="410" t="s">
        <v>86</v>
      </c>
      <c r="L61" s="159"/>
      <c r="M61" s="408">
        <f>IF(L61&lt;&gt;"",L61+L62,"")</f>
      </c>
      <c r="N61" s="151" t="s">
        <v>12</v>
      </c>
      <c r="O61" s="318" t="str">
        <f>VLOOKUP(N61,'参加チーム'!$B$5:$G$73,IF($N$2=1,4,5),FALSE)</f>
        <v>Rion</v>
      </c>
      <c r="P61" s="409" t="str">
        <f>+O61</f>
        <v>Rion</v>
      </c>
      <c r="Q61" s="323" t="str">
        <f>+O63</f>
        <v>ステラミーゴ</v>
      </c>
      <c r="S61" s="17" t="str">
        <f>+"後"&amp;G61&amp;N61</f>
        <v>後北Ｂ北Ｅ</v>
      </c>
      <c r="T61" s="18">
        <f>IF(I61&lt;&gt;"",I61,"")</f>
      </c>
      <c r="U61" s="18">
        <f>IF(M61&lt;&gt;"",M61,"")</f>
      </c>
      <c r="V61" s="19">
        <f>+B61</f>
        <v>40476</v>
      </c>
      <c r="X61" s="14">
        <f t="shared" si="6"/>
        <v>10</v>
      </c>
      <c r="Y61" s="14">
        <f t="shared" si="7"/>
        <v>26</v>
      </c>
      <c r="Z61" s="14" t="str">
        <f t="shared" si="8"/>
        <v>10/26</v>
      </c>
      <c r="AA61" s="14" t="str">
        <f t="shared" si="9"/>
        <v>△</v>
      </c>
      <c r="AB61" s="14">
        <f>IF(T61&lt;&gt;"",H61,"")</f>
      </c>
      <c r="AC61" s="117" t="str">
        <f>+Z61&amp;" "&amp;AA61&amp;" "&amp;T61&amp;"-"&amp;U61&amp;" "&amp;O61</f>
        <v>10/26 △ - Rion</v>
      </c>
      <c r="AD61" s="14">
        <f>+J61</f>
        <v>0</v>
      </c>
      <c r="AE61" s="14">
        <f>+J62</f>
        <v>0</v>
      </c>
      <c r="AF61" s="14">
        <f>+L61</f>
        <v>0</v>
      </c>
      <c r="AG61" s="14">
        <f>+L62</f>
        <v>0</v>
      </c>
      <c r="AH61" s="121">
        <f t="shared" si="10"/>
        <v>40476</v>
      </c>
    </row>
    <row r="62" spans="1:34" ht="14.25" customHeight="1">
      <c r="A62" s="289"/>
      <c r="B62" s="328"/>
      <c r="C62" s="436"/>
      <c r="D62" s="309"/>
      <c r="E62" s="281"/>
      <c r="F62" s="281"/>
      <c r="G62" s="85" t="str">
        <f>LEFT(VLOOKUP(G61,'参加チーム'!$B$5:$G$73,6,FALSE),2)</f>
        <v>岩手</v>
      </c>
      <c r="H62" s="317"/>
      <c r="I62" s="281"/>
      <c r="J62" s="116"/>
      <c r="K62" s="302"/>
      <c r="L62" s="116"/>
      <c r="M62" s="281"/>
      <c r="N62" s="85" t="str">
        <f>LEFT(VLOOKUP(N61,'参加チーム'!$B$5:$G$73,6,FALSE),2)</f>
        <v>秋田</v>
      </c>
      <c r="O62" s="317"/>
      <c r="P62" s="307"/>
      <c r="Q62" s="323"/>
      <c r="S62" s="20" t="str">
        <f>+"後"&amp;N61&amp;G61</f>
        <v>後北Ｅ北Ｂ</v>
      </c>
      <c r="T62" s="16">
        <f>IF(M61&lt;&gt;"",M61,"")</f>
      </c>
      <c r="U62" s="16">
        <f>IF(I61&lt;&gt;"",I61,"")</f>
      </c>
      <c r="V62" s="21">
        <f>+B61</f>
        <v>40476</v>
      </c>
      <c r="X62" s="14">
        <f t="shared" si="6"/>
        <v>10</v>
      </c>
      <c r="Y62" s="14">
        <f t="shared" si="7"/>
        <v>26</v>
      </c>
      <c r="Z62" s="14" t="str">
        <f t="shared" si="8"/>
        <v>10/26</v>
      </c>
      <c r="AA62" s="14" t="str">
        <f t="shared" si="9"/>
        <v>△</v>
      </c>
      <c r="AB62" s="14">
        <f>IF(T62&lt;&gt;"",O61,"")</f>
      </c>
      <c r="AC62" s="117" t="str">
        <f>+Z62&amp;" "&amp;AA62&amp;" "&amp;T62&amp;"-"&amp;U62&amp;" "&amp;H61</f>
        <v>10/26 △ - ヴィヴァーレ</v>
      </c>
      <c r="AD62" s="14">
        <f>+L61</f>
        <v>0</v>
      </c>
      <c r="AE62" s="14">
        <f>+L62</f>
        <v>0</v>
      </c>
      <c r="AF62" s="14">
        <f>+J61</f>
        <v>0</v>
      </c>
      <c r="AG62" s="14">
        <f>+J62</f>
        <v>0</v>
      </c>
      <c r="AH62" s="121">
        <f t="shared" si="10"/>
        <v>40476</v>
      </c>
    </row>
    <row r="63" spans="1:34" ht="14.25" customHeight="1">
      <c r="A63" s="289"/>
      <c r="B63" s="328"/>
      <c r="C63" s="436"/>
      <c r="D63" s="297">
        <v>2</v>
      </c>
      <c r="E63" s="282">
        <v>0.45138888888888895</v>
      </c>
      <c r="F63" s="282">
        <v>0.513888888888889</v>
      </c>
      <c r="G63" s="86" t="s">
        <v>13</v>
      </c>
      <c r="H63" s="316" t="str">
        <f>VLOOKUP(G63,'参加チーム'!$B$5:$G$73,IF($N$2=1,4,5),FALSE)</f>
        <v>PIETRA</v>
      </c>
      <c r="I63" s="304">
        <f>IF(J63&lt;&gt;"",J63+J64,"")</f>
      </c>
      <c r="J63" s="116"/>
      <c r="K63" s="303" t="s">
        <v>86</v>
      </c>
      <c r="L63" s="116"/>
      <c r="M63" s="304">
        <f>IF(L63&lt;&gt;"",L63+L64,"")</f>
      </c>
      <c r="N63" s="86" t="s">
        <v>11</v>
      </c>
      <c r="O63" s="316" t="str">
        <f>VLOOKUP(N63,'参加チーム'!$B$5:$G$73,IF($N$2=1,4,5),FALSE)</f>
        <v>ステラミーゴ</v>
      </c>
      <c r="P63" s="325" t="str">
        <f>+O63</f>
        <v>ステラミーゴ</v>
      </c>
      <c r="Q63" s="323"/>
      <c r="S63" s="20" t="str">
        <f>+"後"&amp;G63&amp;N63</f>
        <v>後北Ｆ北Ｄ</v>
      </c>
      <c r="T63" s="16">
        <f>IF(I63&lt;&gt;"",I63,"")</f>
      </c>
      <c r="U63" s="16">
        <f>IF(M63&lt;&gt;"",M63,"")</f>
      </c>
      <c r="V63" s="21">
        <f>+B61</f>
        <v>40476</v>
      </c>
      <c r="X63" s="117">
        <f t="shared" si="6"/>
        <v>10</v>
      </c>
      <c r="Y63" s="117">
        <f t="shared" si="7"/>
        <v>26</v>
      </c>
      <c r="Z63" s="117" t="str">
        <f t="shared" si="8"/>
        <v>10/26</v>
      </c>
      <c r="AA63" s="117" t="str">
        <f t="shared" si="9"/>
        <v>△</v>
      </c>
      <c r="AB63" s="14">
        <f>IF(T63&lt;&gt;"",H63,"")</f>
      </c>
      <c r="AC63" s="117" t="str">
        <f>+Z63&amp;" "&amp;AA63&amp;" "&amp;T63&amp;"-"&amp;U63&amp;" "&amp;O63</f>
        <v>10/26 △ - ステラミーゴ</v>
      </c>
      <c r="AD63" s="14">
        <f>+J63</f>
        <v>0</v>
      </c>
      <c r="AE63" s="14">
        <f>+J64</f>
        <v>0</v>
      </c>
      <c r="AF63" s="14">
        <f>+L63</f>
        <v>0</v>
      </c>
      <c r="AG63" s="14">
        <f>+L64</f>
        <v>0</v>
      </c>
      <c r="AH63" s="121">
        <f t="shared" si="10"/>
        <v>40476</v>
      </c>
    </row>
    <row r="64" spans="1:34" ht="14.25" customHeight="1">
      <c r="A64" s="289"/>
      <c r="B64" s="328"/>
      <c r="C64" s="418" t="s">
        <v>238</v>
      </c>
      <c r="D64" s="309"/>
      <c r="E64" s="281"/>
      <c r="F64" s="281"/>
      <c r="G64" s="85" t="str">
        <f>LEFT(VLOOKUP(G63,'参加チーム'!$B$5:$G$73,6,FALSE),2)</f>
        <v>秋田</v>
      </c>
      <c r="H64" s="317"/>
      <c r="I64" s="281"/>
      <c r="J64" s="116"/>
      <c r="K64" s="302"/>
      <c r="L64" s="116"/>
      <c r="M64" s="281"/>
      <c r="N64" s="85" t="str">
        <f>LEFT(VLOOKUP(N63,'参加チーム'!$B$5:$G$73,6,FALSE),2)</f>
        <v>岩手</v>
      </c>
      <c r="O64" s="317"/>
      <c r="P64" s="307"/>
      <c r="Q64" s="323"/>
      <c r="S64" s="20" t="str">
        <f>+"後"&amp;N63&amp;G63</f>
        <v>後北Ｄ北Ｆ</v>
      </c>
      <c r="T64" s="16">
        <f>IF(M63&lt;&gt;"",M63,"")</f>
      </c>
      <c r="U64" s="16">
        <f>IF(I63&lt;&gt;"",I63,"")</f>
      </c>
      <c r="V64" s="21">
        <f>+B61</f>
        <v>40476</v>
      </c>
      <c r="X64" s="117">
        <f t="shared" si="6"/>
        <v>10</v>
      </c>
      <c r="Y64" s="117">
        <f t="shared" si="7"/>
        <v>26</v>
      </c>
      <c r="Z64" s="117" t="str">
        <f t="shared" si="8"/>
        <v>10/26</v>
      </c>
      <c r="AA64" s="117" t="str">
        <f t="shared" si="9"/>
        <v>△</v>
      </c>
      <c r="AB64" s="14">
        <f>IF(T64&lt;&gt;"",O63,"")</f>
      </c>
      <c r="AC64" s="117" t="str">
        <f>+Z64&amp;" "&amp;AA64&amp;" "&amp;T64&amp;"-"&amp;U64&amp;" "&amp;H63</f>
        <v>10/26 △ - PIETRA</v>
      </c>
      <c r="AD64" s="14">
        <f>+L63</f>
        <v>0</v>
      </c>
      <c r="AE64" s="14">
        <f>+L64</f>
        <v>0</v>
      </c>
      <c r="AF64" s="14">
        <f>+J63</f>
        <v>0</v>
      </c>
      <c r="AG64" s="14">
        <f>+J64</f>
        <v>0</v>
      </c>
      <c r="AH64" s="121">
        <f t="shared" si="10"/>
        <v>40476</v>
      </c>
    </row>
    <row r="65" spans="1:34" ht="14.25">
      <c r="A65" s="289"/>
      <c r="B65" s="328"/>
      <c r="C65" s="418"/>
      <c r="D65" s="297">
        <v>3</v>
      </c>
      <c r="E65" s="283">
        <v>0.5277777777777778</v>
      </c>
      <c r="F65" s="282">
        <v>0.5902777777777778</v>
      </c>
      <c r="G65" s="86" t="s">
        <v>8</v>
      </c>
      <c r="H65" s="316" t="str">
        <f>VLOOKUP(G65,'参加チーム'!$B$5:$G$73,IF($N$2=1,4,5),FALSE)</f>
        <v>Itatica</v>
      </c>
      <c r="I65" s="304">
        <f>IF(J65&lt;&gt;"",J65+J66,"")</f>
      </c>
      <c r="J65" s="116"/>
      <c r="K65" s="303" t="s">
        <v>86</v>
      </c>
      <c r="L65" s="116"/>
      <c r="M65" s="304">
        <f>IF(L65&lt;&gt;"",L65+L66,"")</f>
      </c>
      <c r="N65" s="86" t="s">
        <v>10</v>
      </c>
      <c r="O65" s="316" t="str">
        <f>VLOOKUP(N65,'参加チーム'!$B$5:$G$73,IF($N$2=1,4,5),FALSE)</f>
        <v>Carioca</v>
      </c>
      <c r="P65" s="325" t="str">
        <f>+O65</f>
        <v>Carioca</v>
      </c>
      <c r="Q65" s="323"/>
      <c r="S65" s="20" t="str">
        <f>+"後"&amp;G65&amp;N65</f>
        <v>後北Ａ北Ｃ</v>
      </c>
      <c r="T65" s="16">
        <f>IF(I65&lt;&gt;"",I65,"")</f>
      </c>
      <c r="U65" s="16">
        <f>IF(M65&lt;&gt;"",M65,"")</f>
      </c>
      <c r="V65" s="21">
        <f>+B61</f>
        <v>40476</v>
      </c>
      <c r="X65" s="117">
        <f t="shared" si="6"/>
        <v>10</v>
      </c>
      <c r="Y65" s="117">
        <f t="shared" si="7"/>
        <v>26</v>
      </c>
      <c r="Z65" s="117" t="str">
        <f t="shared" si="8"/>
        <v>10/26</v>
      </c>
      <c r="AA65" s="117" t="str">
        <f t="shared" si="9"/>
        <v>△</v>
      </c>
      <c r="AB65" s="14">
        <f>IF(T65&lt;&gt;"",H65,"")</f>
      </c>
      <c r="AC65" s="117" t="str">
        <f>+Z65&amp;" "&amp;AA65&amp;" "&amp;T65&amp;"-"&amp;U65&amp;" "&amp;O65</f>
        <v>10/26 △ - Carioca</v>
      </c>
      <c r="AD65" s="14">
        <f>+J65</f>
        <v>0</v>
      </c>
      <c r="AE65" s="14">
        <f>+J66</f>
        <v>0</v>
      </c>
      <c r="AF65" s="14">
        <f>+L65</f>
        <v>0</v>
      </c>
      <c r="AG65" s="14">
        <f>+L66</f>
        <v>0</v>
      </c>
      <c r="AH65" s="121">
        <f t="shared" si="10"/>
        <v>40476</v>
      </c>
    </row>
    <row r="66" spans="1:34" ht="15" thickBot="1">
      <c r="A66" s="290"/>
      <c r="B66" s="329"/>
      <c r="C66" s="419"/>
      <c r="D66" s="298"/>
      <c r="E66" s="285"/>
      <c r="F66" s="305"/>
      <c r="G66" s="124" t="str">
        <f>LEFT(VLOOKUP(G65,'参加チーム'!$B$5:$G$73,6,FALSE),2)</f>
        <v>青森</v>
      </c>
      <c r="H66" s="320"/>
      <c r="I66" s="305"/>
      <c r="J66" s="125"/>
      <c r="K66" s="321"/>
      <c r="L66" s="125"/>
      <c r="M66" s="305"/>
      <c r="N66" s="124" t="str">
        <f>LEFT(VLOOKUP(N65,'参加チーム'!$B$5:$G$73,6,FALSE),2)</f>
        <v>岩手</v>
      </c>
      <c r="O66" s="320"/>
      <c r="P66" s="315"/>
      <c r="Q66" s="324"/>
      <c r="S66" s="22" t="str">
        <f>+"後"&amp;N65&amp;G65</f>
        <v>後北Ｃ北Ａ</v>
      </c>
      <c r="T66" s="23">
        <f>IF(M65&lt;&gt;"",M65,"")</f>
      </c>
      <c r="U66" s="23">
        <f>IF(I65&lt;&gt;"",I65,"")</f>
      </c>
      <c r="V66" s="24">
        <f>+B61</f>
        <v>40476</v>
      </c>
      <c r="X66" s="117">
        <f t="shared" si="6"/>
        <v>10</v>
      </c>
      <c r="Y66" s="117">
        <f t="shared" si="7"/>
        <v>26</v>
      </c>
      <c r="Z66" s="117" t="str">
        <f t="shared" si="8"/>
        <v>10/26</v>
      </c>
      <c r="AA66" s="117" t="str">
        <f t="shared" si="9"/>
        <v>△</v>
      </c>
      <c r="AB66" s="14">
        <f>IF(T66&lt;&gt;"",O65,"")</f>
      </c>
      <c r="AC66" s="117" t="str">
        <f>+Z66&amp;" "&amp;AA66&amp;" "&amp;T66&amp;"-"&amp;U66&amp;" "&amp;H65</f>
        <v>10/26 △ - Itatica</v>
      </c>
      <c r="AD66" s="14">
        <f>+L65</f>
        <v>0</v>
      </c>
      <c r="AE66" s="14">
        <f>+L66</f>
        <v>0</v>
      </c>
      <c r="AF66" s="14">
        <f>+J65</f>
        <v>0</v>
      </c>
      <c r="AG66" s="14">
        <f>+J66</f>
        <v>0</v>
      </c>
      <c r="AH66" s="121">
        <f t="shared" si="10"/>
        <v>40476</v>
      </c>
    </row>
    <row r="67" spans="24:29" ht="14.25">
      <c r="X67" s="117"/>
      <c r="Y67" s="117"/>
      <c r="Z67" s="117"/>
      <c r="AA67" s="117"/>
      <c r="AC67" s="117"/>
    </row>
    <row r="68" spans="24:29" ht="14.25">
      <c r="X68" s="117"/>
      <c r="Y68" s="117"/>
      <c r="Z68" s="117"/>
      <c r="AA68" s="117"/>
      <c r="AC68" s="117"/>
    </row>
    <row r="69" spans="24:29" ht="14.25">
      <c r="X69" s="117"/>
      <c r="Y69" s="117"/>
      <c r="Z69" s="117"/>
      <c r="AA69" s="117"/>
      <c r="AC69" s="117"/>
    </row>
    <row r="70" spans="24:29" ht="14.25">
      <c r="X70" s="117"/>
      <c r="Y70" s="117"/>
      <c r="Z70" s="117"/>
      <c r="AA70" s="117"/>
      <c r="AC70" s="117"/>
    </row>
    <row r="71" spans="7:29" ht="14.25">
      <c r="G71" s="115" t="s">
        <v>17</v>
      </c>
      <c r="X71" s="117"/>
      <c r="Y71" s="117"/>
      <c r="Z71" s="117"/>
      <c r="AA71" s="117"/>
      <c r="AC71" s="117"/>
    </row>
    <row r="72" spans="7:29" ht="14.25">
      <c r="G72" s="115" t="s">
        <v>20</v>
      </c>
      <c r="X72" s="117"/>
      <c r="Y72" s="117"/>
      <c r="Z72" s="117"/>
      <c r="AA72" s="117"/>
      <c r="AC72" s="117"/>
    </row>
    <row r="73" spans="7:29" ht="14.25">
      <c r="G73" s="115" t="s">
        <v>21</v>
      </c>
      <c r="X73" s="117"/>
      <c r="Y73" s="117"/>
      <c r="Z73" s="117"/>
      <c r="AA73" s="117"/>
      <c r="AC73" s="117"/>
    </row>
    <row r="74" spans="7:29" ht="14.25">
      <c r="G74" s="115" t="s">
        <v>18</v>
      </c>
      <c r="X74" s="117"/>
      <c r="Y74" s="117"/>
      <c r="Z74" s="117"/>
      <c r="AA74" s="117"/>
      <c r="AC74" s="117"/>
    </row>
    <row r="75" spans="7:29" ht="14.25">
      <c r="G75" s="115" t="s">
        <v>19</v>
      </c>
      <c r="X75" s="117"/>
      <c r="Y75" s="117"/>
      <c r="Z75" s="117"/>
      <c r="AA75" s="117"/>
      <c r="AC75" s="117"/>
    </row>
    <row r="76" spans="7:29" ht="14.25">
      <c r="G76" s="113"/>
      <c r="X76" s="117"/>
      <c r="Y76" s="117"/>
      <c r="Z76" s="117"/>
      <c r="AA76" s="117"/>
      <c r="AC76" s="117"/>
    </row>
    <row r="77" spans="7:29" ht="14.25">
      <c r="G77" s="113"/>
      <c r="X77" s="117"/>
      <c r="Y77" s="117"/>
      <c r="Z77" s="117"/>
      <c r="AA77" s="117"/>
      <c r="AC77" s="117"/>
    </row>
    <row r="78" spans="7:29" ht="14.25">
      <c r="G78" s="113"/>
      <c r="X78" s="117"/>
      <c r="Y78" s="117"/>
      <c r="Z78" s="117"/>
      <c r="AA78" s="117"/>
      <c r="AC78" s="117"/>
    </row>
    <row r="79" spans="7:29" ht="14.25">
      <c r="G79" s="113"/>
      <c r="X79" s="117"/>
      <c r="Y79" s="117"/>
      <c r="Z79" s="117"/>
      <c r="AA79" s="117"/>
      <c r="AC79" s="117"/>
    </row>
    <row r="80" spans="7:29" ht="14.25">
      <c r="G80" s="113"/>
      <c r="X80" s="117"/>
      <c r="Y80" s="117"/>
      <c r="Z80" s="117"/>
      <c r="AA80" s="117"/>
      <c r="AC80" s="117"/>
    </row>
    <row r="81" spans="24:29" ht="14.25">
      <c r="X81" s="117"/>
      <c r="Y81" s="117"/>
      <c r="Z81" s="117"/>
      <c r="AA81" s="117"/>
      <c r="AC81" s="117"/>
    </row>
    <row r="82" spans="24:29" ht="14.25">
      <c r="X82" s="117"/>
      <c r="Y82" s="117"/>
      <c r="Z82" s="117"/>
      <c r="AA82" s="117"/>
      <c r="AC82" s="117"/>
    </row>
    <row r="83" spans="24:29" ht="14.25">
      <c r="X83" s="117"/>
      <c r="Y83" s="117"/>
      <c r="Z83" s="117"/>
      <c r="AA83" s="117"/>
      <c r="AC83" s="117"/>
    </row>
    <row r="84" spans="24:29" ht="14.25">
      <c r="X84" s="117"/>
      <c r="Y84" s="117"/>
      <c r="Z84" s="117"/>
      <c r="AA84" s="117"/>
      <c r="AC84" s="117"/>
    </row>
    <row r="85" spans="24:29" ht="14.25">
      <c r="X85" s="117"/>
      <c r="Y85" s="117"/>
      <c r="Z85" s="117"/>
      <c r="AA85" s="117"/>
      <c r="AC85" s="117"/>
    </row>
    <row r="86" spans="24:29" ht="14.25">
      <c r="X86" s="117"/>
      <c r="Y86" s="117"/>
      <c r="Z86" s="117"/>
      <c r="AA86" s="117"/>
      <c r="AC86" s="117"/>
    </row>
    <row r="87" spans="24:29" ht="14.25">
      <c r="X87" s="117"/>
      <c r="Y87" s="117"/>
      <c r="Z87" s="117"/>
      <c r="AA87" s="117"/>
      <c r="AC87" s="117"/>
    </row>
    <row r="88" spans="24:29" ht="14.25">
      <c r="X88" s="117"/>
      <c r="Y88" s="117"/>
      <c r="Z88" s="117"/>
      <c r="AA88" s="117"/>
      <c r="AC88" s="117"/>
    </row>
    <row r="89" spans="1:29" ht="14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X89" s="117"/>
      <c r="Y89" s="117"/>
      <c r="Z89" s="117"/>
      <c r="AA89" s="117"/>
      <c r="AC89" s="117"/>
    </row>
    <row r="90" spans="24:29" ht="14.25">
      <c r="X90" s="117"/>
      <c r="Y90" s="117"/>
      <c r="Z90" s="117"/>
      <c r="AA90" s="117"/>
      <c r="AC90" s="117"/>
    </row>
    <row r="91" spans="24:29" ht="14.25">
      <c r="X91" s="117"/>
      <c r="Y91" s="117"/>
      <c r="Z91" s="117"/>
      <c r="AA91" s="117"/>
      <c r="AC91" s="117"/>
    </row>
    <row r="92" spans="24:29" ht="14.25">
      <c r="X92" s="117"/>
      <c r="Y92" s="117"/>
      <c r="Z92" s="117"/>
      <c r="AA92" s="117"/>
      <c r="AC92" s="117"/>
    </row>
    <row r="93" spans="24:29" ht="14.25">
      <c r="X93" s="117"/>
      <c r="Y93" s="117"/>
      <c r="Z93" s="117"/>
      <c r="AA93" s="117"/>
      <c r="AC93" s="117"/>
    </row>
    <row r="94" spans="24:29" ht="14.25">
      <c r="X94" s="117"/>
      <c r="Y94" s="117"/>
      <c r="Z94" s="117"/>
      <c r="AA94" s="117"/>
      <c r="AC94" s="117"/>
    </row>
    <row r="95" spans="24:29" ht="14.25">
      <c r="X95" s="117"/>
      <c r="Y95" s="117"/>
      <c r="Z95" s="117"/>
      <c r="AA95" s="117"/>
      <c r="AC95" s="117"/>
    </row>
    <row r="96" spans="24:29" ht="14.25">
      <c r="X96" s="117"/>
      <c r="Y96" s="117"/>
      <c r="Z96" s="117"/>
      <c r="AA96" s="117"/>
      <c r="AC96" s="117"/>
    </row>
    <row r="97" spans="24:29" ht="14.25">
      <c r="X97" s="117"/>
      <c r="Y97" s="117"/>
      <c r="Z97" s="117"/>
      <c r="AA97" s="117"/>
      <c r="AC97" s="117"/>
    </row>
    <row r="98" spans="24:29" ht="14.25">
      <c r="X98" s="117"/>
      <c r="Y98" s="117"/>
      <c r="Z98" s="117"/>
      <c r="AA98" s="117"/>
      <c r="AC98" s="117"/>
    </row>
    <row r="99" spans="24:29" ht="14.25">
      <c r="X99" s="117"/>
      <c r="Y99" s="117"/>
      <c r="Z99" s="117"/>
      <c r="AA99" s="117"/>
      <c r="AC99" s="117"/>
    </row>
    <row r="100" spans="24:29" ht="14.25">
      <c r="X100" s="117"/>
      <c r="Y100" s="117"/>
      <c r="Z100" s="117"/>
      <c r="AA100" s="117"/>
      <c r="AC100" s="117"/>
    </row>
    <row r="101" spans="24:29" ht="14.25">
      <c r="X101" s="117"/>
      <c r="Y101" s="117"/>
      <c r="Z101" s="117"/>
      <c r="AA101" s="117"/>
      <c r="AC101" s="117"/>
    </row>
    <row r="102" spans="24:29" ht="14.25">
      <c r="X102" s="117"/>
      <c r="Y102" s="117"/>
      <c r="Z102" s="117"/>
      <c r="AA102" s="117"/>
      <c r="AC102" s="117"/>
    </row>
    <row r="103" spans="24:29" ht="14.25">
      <c r="X103" s="117"/>
      <c r="Y103" s="117"/>
      <c r="Z103" s="117"/>
      <c r="AA103" s="117"/>
      <c r="AC103" s="117"/>
    </row>
    <row r="104" spans="24:29" ht="14.25">
      <c r="X104" s="117"/>
      <c r="Y104" s="117"/>
      <c r="Z104" s="117"/>
      <c r="AA104" s="117"/>
      <c r="AC104" s="117"/>
    </row>
    <row r="105" spans="24:29" ht="14.25">
      <c r="X105" s="117"/>
      <c r="Y105" s="117"/>
      <c r="Z105" s="117"/>
      <c r="AA105" s="117"/>
      <c r="AC105" s="117"/>
    </row>
    <row r="106" spans="24:29" ht="14.25">
      <c r="X106" s="117"/>
      <c r="Y106" s="117"/>
      <c r="Z106" s="117"/>
      <c r="AA106" s="117"/>
      <c r="AC106" s="117"/>
    </row>
    <row r="107" spans="24:29" ht="14.25">
      <c r="X107" s="117"/>
      <c r="Y107" s="117"/>
      <c r="Z107" s="117"/>
      <c r="AA107" s="117"/>
      <c r="AC107" s="117"/>
    </row>
    <row r="108" spans="24:29" ht="14.25">
      <c r="X108" s="117"/>
      <c r="Y108" s="117"/>
      <c r="Z108" s="117"/>
      <c r="AA108" s="117"/>
      <c r="AC108" s="117"/>
    </row>
    <row r="109" spans="24:29" ht="14.25">
      <c r="X109" s="117"/>
      <c r="Y109" s="117"/>
      <c r="Z109" s="117"/>
      <c r="AA109" s="117"/>
      <c r="AC109" s="117"/>
    </row>
    <row r="110" spans="24:29" ht="14.25">
      <c r="X110" s="117"/>
      <c r="Y110" s="117"/>
      <c r="Z110" s="117"/>
      <c r="AA110" s="117"/>
      <c r="AC110" s="117"/>
    </row>
    <row r="111" spans="24:29" ht="14.25">
      <c r="X111" s="117"/>
      <c r="Y111" s="117"/>
      <c r="Z111" s="117"/>
      <c r="AA111" s="117"/>
      <c r="AC111" s="117"/>
    </row>
    <row r="112" spans="24:29" ht="14.25">
      <c r="X112" s="117"/>
      <c r="Y112" s="117"/>
      <c r="Z112" s="117"/>
      <c r="AA112" s="117"/>
      <c r="AC112" s="117"/>
    </row>
    <row r="113" spans="24:29" ht="14.25">
      <c r="X113" s="117"/>
      <c r="Y113" s="117"/>
      <c r="Z113" s="117"/>
      <c r="AA113" s="117"/>
      <c r="AC113" s="117"/>
    </row>
    <row r="114" spans="24:29" ht="14.25">
      <c r="X114" s="117"/>
      <c r="Y114" s="117"/>
      <c r="Z114" s="117"/>
      <c r="AA114" s="117"/>
      <c r="AC114" s="117"/>
    </row>
    <row r="115" spans="24:29" ht="14.25">
      <c r="X115" s="117"/>
      <c r="Y115" s="117"/>
      <c r="Z115" s="117"/>
      <c r="AA115" s="117"/>
      <c r="AC115" s="117"/>
    </row>
    <row r="116" spans="24:29" ht="14.25">
      <c r="X116" s="117"/>
      <c r="Y116" s="117"/>
      <c r="Z116" s="117"/>
      <c r="AA116" s="117"/>
      <c r="AC116" s="117"/>
    </row>
    <row r="117" spans="24:29" ht="14.25">
      <c r="X117" s="117"/>
      <c r="Y117" s="117"/>
      <c r="Z117" s="117"/>
      <c r="AA117" s="117"/>
      <c r="AC117" s="117"/>
    </row>
    <row r="118" spans="24:29" ht="14.25">
      <c r="X118" s="117"/>
      <c r="Y118" s="117"/>
      <c r="Z118" s="117"/>
      <c r="AA118" s="117"/>
      <c r="AC118" s="117"/>
    </row>
    <row r="119" spans="24:29" ht="14.25">
      <c r="X119" s="117"/>
      <c r="Y119" s="117"/>
      <c r="Z119" s="117"/>
      <c r="AA119" s="117"/>
      <c r="AC119" s="117"/>
    </row>
    <row r="120" spans="24:29" ht="14.25">
      <c r="X120" s="117"/>
      <c r="Y120" s="117"/>
      <c r="Z120" s="117"/>
      <c r="AA120" s="117"/>
      <c r="AC120" s="117"/>
    </row>
  </sheetData>
  <sheetProtection sheet="1" objects="1" scenarios="1"/>
  <mergeCells count="322">
    <mergeCell ref="H59:H60"/>
    <mergeCell ref="K55:K56"/>
    <mergeCell ref="M55:M56"/>
    <mergeCell ref="O55:O56"/>
    <mergeCell ref="I59:I60"/>
    <mergeCell ref="K59:K60"/>
    <mergeCell ref="I57:I58"/>
    <mergeCell ref="K57:K58"/>
    <mergeCell ref="F59:F60"/>
    <mergeCell ref="H55:H56"/>
    <mergeCell ref="I55:I56"/>
    <mergeCell ref="I63:I64"/>
    <mergeCell ref="F61:F62"/>
    <mergeCell ref="F63:F64"/>
    <mergeCell ref="I61:I62"/>
    <mergeCell ref="F57:F58"/>
    <mergeCell ref="H57:H58"/>
    <mergeCell ref="F55:F56"/>
    <mergeCell ref="K61:K62"/>
    <mergeCell ref="C64:C66"/>
    <mergeCell ref="D65:D66"/>
    <mergeCell ref="H63:H64"/>
    <mergeCell ref="H61:H62"/>
    <mergeCell ref="E61:E62"/>
    <mergeCell ref="E63:E64"/>
    <mergeCell ref="E65:E66"/>
    <mergeCell ref="K63:K64"/>
    <mergeCell ref="A61:A66"/>
    <mergeCell ref="B61:B66"/>
    <mergeCell ref="C61:C63"/>
    <mergeCell ref="D61:D62"/>
    <mergeCell ref="D63:D64"/>
    <mergeCell ref="F65:F66"/>
    <mergeCell ref="H65:H66"/>
    <mergeCell ref="I65:I66"/>
    <mergeCell ref="K65:K66"/>
    <mergeCell ref="Q61:Q66"/>
    <mergeCell ref="M63:M64"/>
    <mergeCell ref="O63:O64"/>
    <mergeCell ref="P63:P64"/>
    <mergeCell ref="M65:M66"/>
    <mergeCell ref="O65:O66"/>
    <mergeCell ref="P65:P66"/>
    <mergeCell ref="O61:O62"/>
    <mergeCell ref="P61:P62"/>
    <mergeCell ref="M61:M62"/>
    <mergeCell ref="A49:A54"/>
    <mergeCell ref="Q55:Q60"/>
    <mergeCell ref="M57:M58"/>
    <mergeCell ref="P59:P60"/>
    <mergeCell ref="P57:P58"/>
    <mergeCell ref="P55:P56"/>
    <mergeCell ref="O57:O58"/>
    <mergeCell ref="M59:M60"/>
    <mergeCell ref="O59:O60"/>
    <mergeCell ref="P49:P50"/>
    <mergeCell ref="Q49:Q54"/>
    <mergeCell ref="M51:M52"/>
    <mergeCell ref="O51:O52"/>
    <mergeCell ref="P51:P52"/>
    <mergeCell ref="M49:M50"/>
    <mergeCell ref="O49:O50"/>
    <mergeCell ref="P53:P54"/>
    <mergeCell ref="M53:M54"/>
    <mergeCell ref="O53:O54"/>
    <mergeCell ref="A55:A60"/>
    <mergeCell ref="B55:B60"/>
    <mergeCell ref="C55:C57"/>
    <mergeCell ref="D55:D56"/>
    <mergeCell ref="D57:D58"/>
    <mergeCell ref="C58:C60"/>
    <mergeCell ref="D59:D60"/>
    <mergeCell ref="H53:H54"/>
    <mergeCell ref="I53:I54"/>
    <mergeCell ref="K53:K54"/>
    <mergeCell ref="F49:F50"/>
    <mergeCell ref="F51:F52"/>
    <mergeCell ref="H51:H52"/>
    <mergeCell ref="I51:I52"/>
    <mergeCell ref="K51:K52"/>
    <mergeCell ref="F53:F54"/>
    <mergeCell ref="H49:H50"/>
    <mergeCell ref="K49:K50"/>
    <mergeCell ref="F47:F48"/>
    <mergeCell ref="I47:I48"/>
    <mergeCell ref="K47:K48"/>
    <mergeCell ref="H47:H48"/>
    <mergeCell ref="I49:I50"/>
    <mergeCell ref="B49:B54"/>
    <mergeCell ref="C49:C51"/>
    <mergeCell ref="D49:D50"/>
    <mergeCell ref="D51:D52"/>
    <mergeCell ref="C52:C54"/>
    <mergeCell ref="D53:D54"/>
    <mergeCell ref="P43:P44"/>
    <mergeCell ref="F45:F46"/>
    <mergeCell ref="H43:H44"/>
    <mergeCell ref="P45:P46"/>
    <mergeCell ref="I45:I46"/>
    <mergeCell ref="K45:K46"/>
    <mergeCell ref="I43:I44"/>
    <mergeCell ref="F43:F44"/>
    <mergeCell ref="Q43:Q48"/>
    <mergeCell ref="M43:M44"/>
    <mergeCell ref="O43:O44"/>
    <mergeCell ref="M47:M48"/>
    <mergeCell ref="O47:O48"/>
    <mergeCell ref="K43:K44"/>
    <mergeCell ref="M45:M46"/>
    <mergeCell ref="O45:O46"/>
    <mergeCell ref="P47:P48"/>
    <mergeCell ref="A43:A48"/>
    <mergeCell ref="B43:B48"/>
    <mergeCell ref="C43:C45"/>
    <mergeCell ref="D43:D44"/>
    <mergeCell ref="D45:D46"/>
    <mergeCell ref="C46:C48"/>
    <mergeCell ref="D47:D48"/>
    <mergeCell ref="O37:O38"/>
    <mergeCell ref="I37:I38"/>
    <mergeCell ref="D39:D40"/>
    <mergeCell ref="D41:D42"/>
    <mergeCell ref="P41:P42"/>
    <mergeCell ref="P37:P38"/>
    <mergeCell ref="K41:K42"/>
    <mergeCell ref="I39:I40"/>
    <mergeCell ref="K39:K40"/>
    <mergeCell ref="M39:M40"/>
    <mergeCell ref="P39:P40"/>
    <mergeCell ref="M41:M42"/>
    <mergeCell ref="O41:O42"/>
    <mergeCell ref="O39:O40"/>
    <mergeCell ref="A37:A42"/>
    <mergeCell ref="B37:B42"/>
    <mergeCell ref="C37:C39"/>
    <mergeCell ref="D37:D38"/>
    <mergeCell ref="C40:C42"/>
    <mergeCell ref="H41:H42"/>
    <mergeCell ref="K37:K38"/>
    <mergeCell ref="H37:H38"/>
    <mergeCell ref="F41:F42"/>
    <mergeCell ref="I41:I42"/>
    <mergeCell ref="M28:M29"/>
    <mergeCell ref="F37:F38"/>
    <mergeCell ref="F39:F40"/>
    <mergeCell ref="H39:H40"/>
    <mergeCell ref="I36:M36"/>
    <mergeCell ref="M37:M38"/>
    <mergeCell ref="O32:O33"/>
    <mergeCell ref="P28:P29"/>
    <mergeCell ref="O28:O29"/>
    <mergeCell ref="P32:P33"/>
    <mergeCell ref="H45:H46"/>
    <mergeCell ref="Q37:Q42"/>
    <mergeCell ref="F32:F33"/>
    <mergeCell ref="H30:H31"/>
    <mergeCell ref="H32:H33"/>
    <mergeCell ref="Q28:Q33"/>
    <mergeCell ref="M30:M31"/>
    <mergeCell ref="O30:O31"/>
    <mergeCell ref="P30:P31"/>
    <mergeCell ref="M32:M33"/>
    <mergeCell ref="C31:C33"/>
    <mergeCell ref="D32:D33"/>
    <mergeCell ref="F30:F31"/>
    <mergeCell ref="A28:A33"/>
    <mergeCell ref="B28:B33"/>
    <mergeCell ref="C28:C30"/>
    <mergeCell ref="D28:D29"/>
    <mergeCell ref="D30:D31"/>
    <mergeCell ref="F28:F29"/>
    <mergeCell ref="H28:H29"/>
    <mergeCell ref="I28:I29"/>
    <mergeCell ref="I32:I33"/>
    <mergeCell ref="K32:K33"/>
    <mergeCell ref="K28:K29"/>
    <mergeCell ref="K30:K31"/>
    <mergeCell ref="I30:I31"/>
    <mergeCell ref="K22:K23"/>
    <mergeCell ref="F24:F25"/>
    <mergeCell ref="K24:K25"/>
    <mergeCell ref="I26:I27"/>
    <mergeCell ref="H24:H25"/>
    <mergeCell ref="I24:I25"/>
    <mergeCell ref="K26:K27"/>
    <mergeCell ref="H26:H27"/>
    <mergeCell ref="F26:F27"/>
    <mergeCell ref="F22:F23"/>
    <mergeCell ref="H22:H23"/>
    <mergeCell ref="I22:I23"/>
    <mergeCell ref="Q22:Q27"/>
    <mergeCell ref="M24:M25"/>
    <mergeCell ref="O24:O25"/>
    <mergeCell ref="P24:P25"/>
    <mergeCell ref="M26:M27"/>
    <mergeCell ref="O26:O27"/>
    <mergeCell ref="P26:P27"/>
    <mergeCell ref="O22:O23"/>
    <mergeCell ref="P22:P23"/>
    <mergeCell ref="M22:M23"/>
    <mergeCell ref="I14:I15"/>
    <mergeCell ref="K14:K15"/>
    <mergeCell ref="A22:A27"/>
    <mergeCell ref="B22:B27"/>
    <mergeCell ref="C22:C24"/>
    <mergeCell ref="D22:D23"/>
    <mergeCell ref="D24:D25"/>
    <mergeCell ref="D20:D21"/>
    <mergeCell ref="C25:C27"/>
    <mergeCell ref="D26:D27"/>
    <mergeCell ref="F20:F21"/>
    <mergeCell ref="H20:H21"/>
    <mergeCell ref="I20:I21"/>
    <mergeCell ref="F16:F17"/>
    <mergeCell ref="F18:F19"/>
    <mergeCell ref="H18:H19"/>
    <mergeCell ref="I18:I19"/>
    <mergeCell ref="M14:M15"/>
    <mergeCell ref="H16:H17"/>
    <mergeCell ref="I16:I17"/>
    <mergeCell ref="C19:C21"/>
    <mergeCell ref="F14:F15"/>
    <mergeCell ref="H14:H15"/>
    <mergeCell ref="K18:K19"/>
    <mergeCell ref="M16:M17"/>
    <mergeCell ref="K20:K21"/>
    <mergeCell ref="K16:K17"/>
    <mergeCell ref="A16:A21"/>
    <mergeCell ref="B16:B21"/>
    <mergeCell ref="C16:C18"/>
    <mergeCell ref="D16:D17"/>
    <mergeCell ref="D18:D19"/>
    <mergeCell ref="O14:O15"/>
    <mergeCell ref="O16:O17"/>
    <mergeCell ref="P16:P17"/>
    <mergeCell ref="P20:P21"/>
    <mergeCell ref="Q16:Q21"/>
    <mergeCell ref="M18:M19"/>
    <mergeCell ref="O18:O19"/>
    <mergeCell ref="P18:P19"/>
    <mergeCell ref="M20:M21"/>
    <mergeCell ref="O20:O21"/>
    <mergeCell ref="F10:F11"/>
    <mergeCell ref="H10:H11"/>
    <mergeCell ref="F4:F5"/>
    <mergeCell ref="C10:C12"/>
    <mergeCell ref="H4:H5"/>
    <mergeCell ref="F12:F13"/>
    <mergeCell ref="H12:H13"/>
    <mergeCell ref="H8:H9"/>
    <mergeCell ref="F8:F9"/>
    <mergeCell ref="C4:C6"/>
    <mergeCell ref="C7:C9"/>
    <mergeCell ref="D4:D5"/>
    <mergeCell ref="F6:F7"/>
    <mergeCell ref="D6:D7"/>
    <mergeCell ref="H6:H7"/>
    <mergeCell ref="D8:D9"/>
    <mergeCell ref="D12:D13"/>
    <mergeCell ref="A10:A15"/>
    <mergeCell ref="B10:B15"/>
    <mergeCell ref="A4:A9"/>
    <mergeCell ref="B4:B9"/>
    <mergeCell ref="D10:D11"/>
    <mergeCell ref="C13:C15"/>
    <mergeCell ref="D14:D15"/>
    <mergeCell ref="I6:I7"/>
    <mergeCell ref="I10:I11"/>
    <mergeCell ref="I8:I9"/>
    <mergeCell ref="K12:K13"/>
    <mergeCell ref="I12:I13"/>
    <mergeCell ref="O10:O11"/>
    <mergeCell ref="M12:M13"/>
    <mergeCell ref="I3:M3"/>
    <mergeCell ref="I4:I5"/>
    <mergeCell ref="K4:K5"/>
    <mergeCell ref="M4:M5"/>
    <mergeCell ref="K6:K7"/>
    <mergeCell ref="K10:K11"/>
    <mergeCell ref="M10:M11"/>
    <mergeCell ref="M6:M7"/>
    <mergeCell ref="P6:P7"/>
    <mergeCell ref="O4:O5"/>
    <mergeCell ref="O6:O7"/>
    <mergeCell ref="K8:K9"/>
    <mergeCell ref="M8:M9"/>
    <mergeCell ref="E20:E21"/>
    <mergeCell ref="Q4:Q9"/>
    <mergeCell ref="P4:P5"/>
    <mergeCell ref="P8:P9"/>
    <mergeCell ref="P10:P11"/>
    <mergeCell ref="Q10:Q15"/>
    <mergeCell ref="O8:O9"/>
    <mergeCell ref="O12:O13"/>
    <mergeCell ref="P12:P13"/>
    <mergeCell ref="P14:P15"/>
    <mergeCell ref="E12:E13"/>
    <mergeCell ref="E14:E15"/>
    <mergeCell ref="E16:E17"/>
    <mergeCell ref="E18:E19"/>
    <mergeCell ref="E4:E5"/>
    <mergeCell ref="E6:E7"/>
    <mergeCell ref="E8:E9"/>
    <mergeCell ref="E10:E11"/>
    <mergeCell ref="E59:E60"/>
    <mergeCell ref="E22:E23"/>
    <mergeCell ref="E24:E25"/>
    <mergeCell ref="E26:E27"/>
    <mergeCell ref="E28:E29"/>
    <mergeCell ref="E30:E31"/>
    <mergeCell ref="E32:E33"/>
    <mergeCell ref="E37:E38"/>
    <mergeCell ref="E39:E40"/>
    <mergeCell ref="E41:E42"/>
    <mergeCell ref="E51:E52"/>
    <mergeCell ref="E53:E54"/>
    <mergeCell ref="E55:E56"/>
    <mergeCell ref="E57:E58"/>
    <mergeCell ref="E43:E44"/>
    <mergeCell ref="E45:E46"/>
    <mergeCell ref="E47:E48"/>
    <mergeCell ref="E49:E50"/>
  </mergeCells>
  <dataValidations count="1">
    <dataValidation type="list" allowBlank="1" showInputMessage="1" showErrorMessage="1" sqref="G37 N63 N61 N55 N57 N59 N49 N51 N53 N47 N43 N45 G65 G63 G61 G59 G57 G55 G53 G51 G49 G47 G45 G43 N41 N39 N65 G41 G39">
      <formula1>$G$71:$G$75</formula1>
    </dataValidation>
  </dataValidations>
  <printOptions horizontalCentered="1" verticalCentered="1"/>
  <pageMargins left="0.1968503937007874" right="0.1968503937007874" top="0.3937007874015748" bottom="0.3937007874015748" header="0.1968503937007874" footer="0.1968503937007874"/>
  <pageSetup orientation="landscape" paperSize="9" r:id="rId1"/>
  <rowBreaks count="1" manualBreakCount="1">
    <brk id="34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B1:BK62"/>
  <sheetViews>
    <sheetView view="pageBreakPreview" zoomScale="55" zoomScaleNormal="55" zoomScaleSheetLayoutView="55" zoomScalePageLayoutView="0" workbookViewId="0" topLeftCell="A1">
      <selection activeCell="AN44" sqref="AN44"/>
    </sheetView>
  </sheetViews>
  <sheetFormatPr defaultColWidth="8.59765625" defaultRowHeight="15"/>
  <cols>
    <col min="1" max="1" width="1.59765625" style="0" customWidth="1"/>
    <col min="2" max="2" width="16.59765625" style="0" customWidth="1"/>
    <col min="3" max="32" width="3.59765625" style="0" customWidth="1"/>
    <col min="33" max="35" width="5.59765625" style="0" customWidth="1"/>
    <col min="36" max="36" width="6.59765625" style="0" customWidth="1"/>
    <col min="37" max="38" width="5.59765625" style="0" hidden="1" customWidth="1"/>
    <col min="39" max="40" width="6.59765625" style="0" customWidth="1"/>
    <col min="41" max="41" width="3.5" style="0" customWidth="1"/>
    <col min="42" max="42" width="8.59765625" style="0" customWidth="1"/>
    <col min="43" max="43" width="2.59765625" style="0" customWidth="1"/>
    <col min="44" max="44" width="8.59765625" style="0" customWidth="1"/>
    <col min="45" max="45" width="2.59765625" style="0" customWidth="1"/>
    <col min="46" max="49" width="4.59765625" style="0" hidden="1" customWidth="1"/>
    <col min="50" max="50" width="8.3984375" style="0" hidden="1" customWidth="1"/>
    <col min="51" max="51" width="9.59765625" style="0" hidden="1" customWidth="1"/>
    <col min="52" max="52" width="4.59765625" style="0" hidden="1" customWidth="1"/>
    <col min="53" max="59" width="3.69921875" style="0" hidden="1" customWidth="1"/>
    <col min="60" max="63" width="0" style="0" hidden="1" customWidth="1"/>
  </cols>
  <sheetData>
    <row r="1" spans="2:40" ht="24">
      <c r="B1" s="36" t="s">
        <v>168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</row>
    <row r="3" spans="5:40" ht="18.75" customHeight="1" thickBot="1">
      <c r="E3" s="4" t="s">
        <v>83</v>
      </c>
      <c r="AG3" s="77">
        <f>+'１部'!$AQ$3</f>
        <v>1</v>
      </c>
      <c r="AH3" s="78" t="str">
        <f>IF(AG3=1,"略称表示","日本語略称表示")&amp;"（１部成績表から）"</f>
        <v>略称表示（１部成績表から）</v>
      </c>
      <c r="AI3" s="79"/>
      <c r="AJ3" s="79"/>
      <c r="AK3" s="79"/>
      <c r="AL3" s="79"/>
      <c r="AM3" s="79"/>
      <c r="AN3" s="79"/>
    </row>
    <row r="4" spans="2:63" ht="29.25" customHeight="1" thickBot="1">
      <c r="B4" s="1"/>
      <c r="C4" s="242" t="str">
        <f>+B6</f>
        <v>ULTIMO</v>
      </c>
      <c r="D4" s="243"/>
      <c r="E4" s="243"/>
      <c r="F4" s="243"/>
      <c r="G4" s="244"/>
      <c r="H4" s="245" t="str">
        <f>+B10</f>
        <v>azul</v>
      </c>
      <c r="I4" s="243"/>
      <c r="J4" s="243"/>
      <c r="K4" s="243"/>
      <c r="L4" s="244"/>
      <c r="M4" s="245" t="str">
        <f>+B14</f>
        <v>Zoorasia</v>
      </c>
      <c r="N4" s="243"/>
      <c r="O4" s="243"/>
      <c r="P4" s="243"/>
      <c r="Q4" s="244"/>
      <c r="R4" s="245" t="str">
        <f>+B18</f>
        <v>Craque</v>
      </c>
      <c r="S4" s="243"/>
      <c r="T4" s="243"/>
      <c r="U4" s="243"/>
      <c r="V4" s="244"/>
      <c r="W4" s="245" t="str">
        <f>+B22</f>
        <v>アトレチコ</v>
      </c>
      <c r="X4" s="243"/>
      <c r="Y4" s="243"/>
      <c r="Z4" s="243"/>
      <c r="AA4" s="244"/>
      <c r="AB4" s="245" t="str">
        <f>+B26</f>
        <v>カメレオン</v>
      </c>
      <c r="AC4" s="243"/>
      <c r="AD4" s="243"/>
      <c r="AE4" s="243"/>
      <c r="AF4" s="243"/>
      <c r="AG4" s="44" t="s">
        <v>75</v>
      </c>
      <c r="AH4" s="5" t="s">
        <v>76</v>
      </c>
      <c r="AI4" s="5" t="s">
        <v>77</v>
      </c>
      <c r="AJ4" s="74" t="s">
        <v>78</v>
      </c>
      <c r="AK4" s="7" t="s">
        <v>79</v>
      </c>
      <c r="AL4" s="8" t="s">
        <v>80</v>
      </c>
      <c r="AM4" s="9" t="s">
        <v>81</v>
      </c>
      <c r="AN4" s="10" t="s">
        <v>82</v>
      </c>
      <c r="AP4" s="54" t="s">
        <v>109</v>
      </c>
      <c r="AQ4" s="60"/>
      <c r="AR4" s="88" t="s">
        <v>130</v>
      </c>
      <c r="AS4" s="60"/>
      <c r="AT4" s="83" t="s">
        <v>131</v>
      </c>
      <c r="AU4" s="83"/>
      <c r="AV4" s="83" t="s">
        <v>132</v>
      </c>
      <c r="AW4" s="83"/>
      <c r="BI4" s="71" t="s">
        <v>131</v>
      </c>
      <c r="BJ4" s="71" t="s">
        <v>0</v>
      </c>
      <c r="BK4" s="71" t="s">
        <v>132</v>
      </c>
    </row>
    <row r="5" spans="2:58" ht="24" customHeight="1" thickBot="1">
      <c r="B5" s="76" t="str">
        <f>+AN55</f>
        <v>南Ｄ</v>
      </c>
      <c r="C5" s="249"/>
      <c r="D5" s="250"/>
      <c r="E5" s="250"/>
      <c r="F5" s="250"/>
      <c r="G5" s="251"/>
      <c r="H5" s="361">
        <f>VLOOKUP("前"&amp;$B5&amp;J$31,'２部南対戦表'!$S$1:$V$89,4,FALSE)</f>
        <v>40315</v>
      </c>
      <c r="I5" s="362"/>
      <c r="J5" s="362"/>
      <c r="K5" s="362"/>
      <c r="L5" s="363"/>
      <c r="M5" s="361">
        <f>VLOOKUP("前"&amp;$B5&amp;O$31,'２部南対戦表'!$S$1:$V$89,4,FALSE)</f>
        <v>40356</v>
      </c>
      <c r="N5" s="362"/>
      <c r="O5" s="362"/>
      <c r="P5" s="362"/>
      <c r="Q5" s="363"/>
      <c r="R5" s="361">
        <f>VLOOKUP("前"&amp;$B5&amp;T$31,'２部南対戦表'!$S$1:$V$89,4,FALSE)</f>
        <v>40378</v>
      </c>
      <c r="S5" s="362"/>
      <c r="T5" s="362"/>
      <c r="U5" s="362"/>
      <c r="V5" s="363"/>
      <c r="W5" s="361">
        <f>VLOOKUP("前"&amp;$B5&amp;Y$31,'２部南対戦表'!$S$1:$V$89,4,FALSE)</f>
        <v>40329</v>
      </c>
      <c r="X5" s="362"/>
      <c r="Y5" s="362"/>
      <c r="Z5" s="362"/>
      <c r="AA5" s="363"/>
      <c r="AB5" s="361">
        <f>VLOOKUP("前"&amp;$B5&amp;AD$31,'２部南対戦表'!$S$1:$V$89,4,FALSE)</f>
        <v>40371</v>
      </c>
      <c r="AC5" s="362"/>
      <c r="AD5" s="362"/>
      <c r="AE5" s="362"/>
      <c r="AF5" s="362"/>
      <c r="AG5" s="369">
        <f>IF(AND($AT6=0,$AU6=0,$AV6=0),"",AT6)</f>
        <v>4</v>
      </c>
      <c r="AH5" s="360">
        <f>IF(AND($AT6=0,$AU6=0,$AV6=0),"",AU6)</f>
        <v>1</v>
      </c>
      <c r="AI5" s="360">
        <f>IF(AND($AT6=0,$AU6=0,$AV6=0),"",AV6)</f>
        <v>0</v>
      </c>
      <c r="AJ5" s="379">
        <f>IF(AND($AT6=0,$AU6=0,$AV6=0),"",AW6+AP6)</f>
        <v>13</v>
      </c>
      <c r="AK5" s="380">
        <f>IF(AND($AT6=0,$AU6=0,$AV6=0),"",AT8)</f>
        <v>33</v>
      </c>
      <c r="AL5" s="380">
        <f>IF(AND($AT6=0,$AU6=0,$AV6=0),"",AU8)</f>
        <v>10</v>
      </c>
      <c r="AM5" s="395">
        <f>IF(AND($AT6=0,$AU6=0,$AV6=0),"",AV8)</f>
        <v>23</v>
      </c>
      <c r="AN5" s="394">
        <f>IF(AND($AT6=0,$AU6=0,$AV6=0),"",RANK(AY7,AY$7:AY$27))</f>
        <v>1</v>
      </c>
      <c r="AT5" s="67" t="s">
        <v>92</v>
      </c>
      <c r="AU5" s="67" t="s">
        <v>93</v>
      </c>
      <c r="AV5" s="67" t="s">
        <v>94</v>
      </c>
      <c r="AW5" s="67" t="s">
        <v>95</v>
      </c>
      <c r="AX5" s="30"/>
      <c r="AY5" s="30"/>
      <c r="BA5" s="62">
        <f>IF(D6&lt;&gt;"",D6,0)</f>
        <v>0</v>
      </c>
      <c r="BB5" s="62">
        <f>IF(I6&lt;&gt;"",I6,0)</f>
        <v>6</v>
      </c>
      <c r="BC5" s="62">
        <f>IF(N6&lt;&gt;"",N6,0)</f>
        <v>1</v>
      </c>
      <c r="BD5" s="62">
        <f>IF(S6&lt;&gt;"",S6,0)</f>
        <v>9</v>
      </c>
      <c r="BE5" s="62">
        <f>IF(X6&lt;&gt;"",X6,0)</f>
        <v>8</v>
      </c>
      <c r="BF5" s="62">
        <f>IF(AC6&lt;&gt;"",AC6,0)</f>
        <v>9</v>
      </c>
    </row>
    <row r="6" spans="2:63" ht="24" customHeight="1">
      <c r="B6" s="357" t="str">
        <f>VLOOKUP(B5,'参加チーム'!$B$5:$G$73,IF($AG$3=1,4,5),FALSE)</f>
        <v>ULTIMO</v>
      </c>
      <c r="C6" s="252"/>
      <c r="D6" s="237"/>
      <c r="E6" s="237"/>
      <c r="F6" s="237"/>
      <c r="G6" s="238"/>
      <c r="H6" s="41" t="s">
        <v>84</v>
      </c>
      <c r="I6" s="42">
        <f>VLOOKUP("前"&amp;$B5&amp;J$31,'２部南対戦表'!$S$1:$V$89,2,FALSE)</f>
        <v>6</v>
      </c>
      <c r="J6" s="42" t="str">
        <f>IF(I6&lt;&gt;"",IF(I6&gt;K6,"○",IF(I6&lt;K6,"●","△")),"-")</f>
        <v>○</v>
      </c>
      <c r="K6" s="42">
        <f>VLOOKUP("前"&amp;$B5&amp;J$31,'２部南対戦表'!$S$1:$V$89,3,FALSE)</f>
        <v>2</v>
      </c>
      <c r="L6" s="43" t="s">
        <v>85</v>
      </c>
      <c r="M6" s="41" t="s">
        <v>84</v>
      </c>
      <c r="N6" s="42">
        <f>VLOOKUP("前"&amp;$B5&amp;O$31,'２部南対戦表'!$S$1:$V$89,2,FALSE)</f>
        <v>1</v>
      </c>
      <c r="O6" s="42" t="str">
        <f>IF(N6&lt;&gt;"",IF(N6&gt;P6,"○",IF(N6&lt;P6,"●","△")),"-")</f>
        <v>△</v>
      </c>
      <c r="P6" s="42">
        <f>VLOOKUP("前"&amp;$B5&amp;O$31,'２部南対戦表'!$S$1:$V$89,3,FALSE)</f>
        <v>1</v>
      </c>
      <c r="Q6" s="43" t="s">
        <v>85</v>
      </c>
      <c r="R6" s="41" t="s">
        <v>84</v>
      </c>
      <c r="S6" s="42">
        <f>VLOOKUP("前"&amp;$B5&amp;T$31,'２部南対戦表'!$S$1:$V$89,2,FALSE)</f>
        <v>9</v>
      </c>
      <c r="T6" s="42" t="str">
        <f>IF(S6&lt;&gt;"",IF(S6&gt;U6,"○",IF(S6&lt;U6,"●","△")),"-")</f>
        <v>○</v>
      </c>
      <c r="U6" s="42">
        <f>VLOOKUP("前"&amp;$B5&amp;T$31,'２部南対戦表'!$S$1:$V$89,3,FALSE)</f>
        <v>2</v>
      </c>
      <c r="V6" s="43" t="s">
        <v>85</v>
      </c>
      <c r="W6" s="41" t="s">
        <v>84</v>
      </c>
      <c r="X6" s="42">
        <f>VLOOKUP("前"&amp;$B5&amp;Y$31,'２部南対戦表'!$S$1:$V$89,2,FALSE)</f>
        <v>8</v>
      </c>
      <c r="Y6" s="42" t="str">
        <f>IF(X6&lt;&gt;"",IF(X6&gt;Z6,"○",IF(X6&lt;Z6,"●","△")),"-")</f>
        <v>○</v>
      </c>
      <c r="Z6" s="42">
        <f>VLOOKUP("前"&amp;$B5&amp;Y$31,'２部南対戦表'!$S$1:$V$89,3,FALSE)</f>
        <v>3</v>
      </c>
      <c r="AA6" s="43" t="s">
        <v>85</v>
      </c>
      <c r="AB6" s="41" t="s">
        <v>84</v>
      </c>
      <c r="AC6" s="42">
        <f>VLOOKUP("前"&amp;$B5&amp;AD$31,'２部南対戦表'!$S$1:$V$89,2,FALSE)</f>
        <v>9</v>
      </c>
      <c r="AD6" s="42" t="str">
        <f>IF(AC6&lt;&gt;"",IF(AC6&gt;AE6,"○",IF(AC6&lt;AE6,"●","△")),"-")</f>
        <v>○</v>
      </c>
      <c r="AE6" s="42">
        <f>VLOOKUP("前"&amp;$B5&amp;AD$31,'２部南対戦表'!$S$1:$V$89,3,FALSE)</f>
        <v>2</v>
      </c>
      <c r="AF6" s="42" t="s">
        <v>85</v>
      </c>
      <c r="AG6" s="223"/>
      <c r="AH6" s="214"/>
      <c r="AI6" s="214"/>
      <c r="AJ6" s="375"/>
      <c r="AK6" s="212"/>
      <c r="AL6" s="212"/>
      <c r="AM6" s="213"/>
      <c r="AN6" s="227"/>
      <c r="AP6" s="263"/>
      <c r="AQ6" s="61"/>
      <c r="AR6" s="274" t="s">
        <v>133</v>
      </c>
      <c r="AS6" s="61"/>
      <c r="AT6" s="32">
        <f>COUNTIF($C5:$AF8,"○")</f>
        <v>4</v>
      </c>
      <c r="AU6" s="32">
        <f>COUNTIF($C5:$AF8,"△")</f>
        <v>1</v>
      </c>
      <c r="AV6" s="32">
        <f>COUNTIF($C5:$AF8,"●")</f>
        <v>0</v>
      </c>
      <c r="AW6" s="67">
        <f>AT6*3+AU6</f>
        <v>13</v>
      </c>
      <c r="AX6" s="30"/>
      <c r="AY6" s="30"/>
      <c r="BA6" s="63">
        <f>IF(F6&lt;&gt;"",F6,0)</f>
        <v>0</v>
      </c>
      <c r="BB6" s="63">
        <f>IF(K6&lt;&gt;"",K6,0)</f>
        <v>2</v>
      </c>
      <c r="BC6" s="63">
        <f>IF(P6&lt;&gt;"",P6,0)</f>
        <v>1</v>
      </c>
      <c r="BD6" s="63">
        <f>IF(U6&lt;&gt;"",U6,0)</f>
        <v>2</v>
      </c>
      <c r="BE6" s="63">
        <f>IF(Z6&lt;&gt;"",Z6,0)</f>
        <v>3</v>
      </c>
      <c r="BF6" s="63">
        <f>IF(AE6&lt;&gt;"",AE6,0)</f>
        <v>2</v>
      </c>
      <c r="BI6" s="71"/>
      <c r="BJ6" s="71"/>
      <c r="BK6" s="71"/>
    </row>
    <row r="7" spans="2:58" ht="24" customHeight="1" thickBot="1">
      <c r="B7" s="357"/>
      <c r="C7" s="252"/>
      <c r="D7" s="237"/>
      <c r="E7" s="237"/>
      <c r="F7" s="237"/>
      <c r="G7" s="238"/>
      <c r="H7" s="203">
        <f>VLOOKUP("後"&amp;$B5&amp;J$31,'２部南対戦表'!$S$1:$V$89,4,FALSE)</f>
        <v>40463</v>
      </c>
      <c r="I7" s="204"/>
      <c r="J7" s="204"/>
      <c r="K7" s="204"/>
      <c r="L7" s="205"/>
      <c r="M7" s="203">
        <f>VLOOKUP("後"&amp;$B5&amp;O$31,'２部南対戦表'!$S$1:$V$89,4,FALSE)</f>
        <v>40455</v>
      </c>
      <c r="N7" s="204"/>
      <c r="O7" s="204"/>
      <c r="P7" s="204"/>
      <c r="Q7" s="205"/>
      <c r="R7" s="246">
        <f>VLOOKUP("後"&amp;$B5&amp;T$31,'２部南対戦表'!$S$1:$V$89,4,FALSE)</f>
        <v>40448</v>
      </c>
      <c r="S7" s="247"/>
      <c r="T7" s="247"/>
      <c r="U7" s="247"/>
      <c r="V7" s="248"/>
      <c r="W7" s="246">
        <f>VLOOKUP("後"&amp;$B5&amp;Y$31,'２部南対戦表'!$S$1:$V$89,4,FALSE)</f>
        <v>40441</v>
      </c>
      <c r="X7" s="247"/>
      <c r="Y7" s="247"/>
      <c r="Z7" s="247"/>
      <c r="AA7" s="248"/>
      <c r="AB7" s="246">
        <f>VLOOKUP("後"&amp;$B5&amp;AD$31,'２部南対戦表'!$S$1:$V$89,4,FALSE)</f>
        <v>40427</v>
      </c>
      <c r="AC7" s="247"/>
      <c r="AD7" s="247"/>
      <c r="AE7" s="247"/>
      <c r="AF7" s="247"/>
      <c r="AG7" s="223"/>
      <c r="AH7" s="214"/>
      <c r="AI7" s="214"/>
      <c r="AJ7" s="375"/>
      <c r="AK7" s="212"/>
      <c r="AL7" s="212"/>
      <c r="AM7" s="213"/>
      <c r="AN7" s="227"/>
      <c r="AP7" s="264"/>
      <c r="AQ7" s="61"/>
      <c r="AR7" s="275"/>
      <c r="AS7" s="61"/>
      <c r="AT7" s="75" t="s">
        <v>96</v>
      </c>
      <c r="AU7" s="75" t="s">
        <v>97</v>
      </c>
      <c r="AV7" s="75" t="s">
        <v>98</v>
      </c>
      <c r="AW7" s="31"/>
      <c r="AX7" s="31" t="s">
        <v>104</v>
      </c>
      <c r="AY7" s="65">
        <f>IF(AND(AT6=0,AU6=0,AV6=0),0,+AJ5*1000+AM5+IF(AR6=$AT$4,100,0)+IF(AR6=$AV$4,-100,0))</f>
        <v>13023</v>
      </c>
      <c r="BA7" s="63">
        <f>IF(D8&lt;&gt;"",D8,0)</f>
        <v>0</v>
      </c>
      <c r="BB7" s="63">
        <f>IF(I8&lt;&gt;"",I8,0)</f>
        <v>0</v>
      </c>
      <c r="BC7" s="63">
        <f>IF(N8&lt;&gt;"",N8,0)</f>
        <v>0</v>
      </c>
      <c r="BD7" s="63">
        <f>IF(S8&lt;&gt;"",S8,0)</f>
        <v>0</v>
      </c>
      <c r="BE7" s="63">
        <f>IF(X8&lt;&gt;"",X8,0)</f>
        <v>0</v>
      </c>
      <c r="BF7" s="63">
        <f>IF(AC8&lt;&gt;"",AC8,0)</f>
        <v>0</v>
      </c>
    </row>
    <row r="8" spans="2:58" ht="24" customHeight="1">
      <c r="B8" s="437"/>
      <c r="C8" s="253"/>
      <c r="D8" s="240"/>
      <c r="E8" s="240"/>
      <c r="F8" s="240"/>
      <c r="G8" s="241"/>
      <c r="H8" s="38" t="s">
        <v>84</v>
      </c>
      <c r="I8" s="39">
        <f>VLOOKUP("後"&amp;$B5&amp;J$31,'２部南対戦表'!$S$1:$V$89,2,FALSE)</f>
      </c>
      <c r="J8" s="39">
        <f>IF(I8&lt;&gt;"",IF(I8&gt;K8,"○",IF(I8&lt;K8,"●","△")),"")</f>
      </c>
      <c r="K8" s="39">
        <f>VLOOKUP("後"&amp;$B5&amp;J$31,'２部南対戦表'!$S$1:$V$89,3,FALSE)</f>
      </c>
      <c r="L8" s="40" t="s">
        <v>85</v>
      </c>
      <c r="M8" s="38" t="s">
        <v>84</v>
      </c>
      <c r="N8" s="39">
        <f>VLOOKUP("後"&amp;$B5&amp;O$31,'２部南対戦表'!$S$1:$V$89,2,FALSE)</f>
      </c>
      <c r="O8" s="39">
        <f>IF(N8&lt;&gt;"",IF(N8&gt;P8,"○",IF(N8&lt;P8,"●","△")),"")</f>
      </c>
      <c r="P8" s="39">
        <f>VLOOKUP("後"&amp;$B5&amp;O$31,'２部南対戦表'!$S$1:$V$89,3,FALSE)</f>
      </c>
      <c r="Q8" s="40" t="s">
        <v>85</v>
      </c>
      <c r="R8" s="38" t="s">
        <v>84</v>
      </c>
      <c r="S8" s="39">
        <f>VLOOKUP("後"&amp;$B5&amp;T$31,'２部南対戦表'!$S$1:$V$89,2,FALSE)</f>
      </c>
      <c r="T8" s="39">
        <f>IF(S8&lt;&gt;"",IF(S8&gt;U8,"○",IF(S8&lt;U8,"●","△")),"")</f>
      </c>
      <c r="U8" s="39">
        <f>VLOOKUP("後"&amp;$B5&amp;T$31,'２部南対戦表'!$S$1:$V$89,3,FALSE)</f>
      </c>
      <c r="V8" s="40" t="s">
        <v>85</v>
      </c>
      <c r="W8" s="38" t="s">
        <v>84</v>
      </c>
      <c r="X8" s="39">
        <f>VLOOKUP("後"&amp;$B5&amp;Y$31,'２部南対戦表'!$S$1:$V$89,2,FALSE)</f>
      </c>
      <c r="Y8" s="39">
        <f>IF(X8&lt;&gt;"",IF(X8&gt;Z8,"○",IF(X8&lt;Z8,"●","△")),"")</f>
      </c>
      <c r="Z8" s="39">
        <f>VLOOKUP("後"&amp;$B5&amp;Y$31,'２部南対戦表'!$S$1:$V$89,3,FALSE)</f>
      </c>
      <c r="AA8" s="40" t="s">
        <v>85</v>
      </c>
      <c r="AB8" s="38" t="s">
        <v>84</v>
      </c>
      <c r="AC8" s="39">
        <f>VLOOKUP("後"&amp;$B5&amp;AD$31,'２部南対戦表'!$S$1:$V$89,2,FALSE)</f>
      </c>
      <c r="AD8" s="39">
        <f>IF(AC8&lt;&gt;"",IF(AC8&gt;AE8,"○",IF(AC8&lt;AE8,"●","△")),"")</f>
      </c>
      <c r="AE8" s="39">
        <f>VLOOKUP("後"&amp;$B5&amp;AD$31,'２部南対戦表'!$S$1:$V$89,3,FALSE)</f>
      </c>
      <c r="AF8" s="39" t="s">
        <v>85</v>
      </c>
      <c r="AG8" s="224"/>
      <c r="AH8" s="225"/>
      <c r="AI8" s="225"/>
      <c r="AJ8" s="378"/>
      <c r="AK8" s="212"/>
      <c r="AL8" s="212"/>
      <c r="AM8" s="213"/>
      <c r="AN8" s="228"/>
      <c r="AT8" s="75">
        <f>SUM(BA5:BF5)+SUM(BA7:BF7)</f>
        <v>33</v>
      </c>
      <c r="AU8" s="75">
        <f>SUM(BA6:BF6)+SUM(BA8:BF8)</f>
        <v>10</v>
      </c>
      <c r="AV8" s="57">
        <f>+AT8-AU8</f>
        <v>23</v>
      </c>
      <c r="AW8" s="31"/>
      <c r="AX8" s="31"/>
      <c r="AY8" s="31"/>
      <c r="BA8" s="64">
        <f>IF(F8&lt;&gt;"",F8,0)</f>
        <v>0</v>
      </c>
      <c r="BB8" s="64">
        <f>IF(K8&lt;&gt;"",K8,0)</f>
        <v>0</v>
      </c>
      <c r="BC8" s="64">
        <f>IF(P8&lt;&gt;"",P8,0)</f>
        <v>0</v>
      </c>
      <c r="BD8" s="64">
        <f>IF(U8&lt;&gt;"",U8,0)</f>
        <v>0</v>
      </c>
      <c r="BE8" s="64">
        <f>IF(Z8&lt;&gt;"",Z8,0)</f>
        <v>0</v>
      </c>
      <c r="BF8" s="64">
        <f>IF(AE8&lt;&gt;"",AE8,0)</f>
        <v>0</v>
      </c>
    </row>
    <row r="9" spans="2:58" ht="24" customHeight="1" thickBot="1">
      <c r="B9" s="2" t="str">
        <f>+AN56</f>
        <v>南Ｃ</v>
      </c>
      <c r="C9" s="200">
        <f>VLOOKUP("前"&amp;$B9&amp;E$31,'２部南対戦表'!$S$1:$V$89,4,FALSE)</f>
        <v>40315</v>
      </c>
      <c r="D9" s="201"/>
      <c r="E9" s="201"/>
      <c r="F9" s="201"/>
      <c r="G9" s="202"/>
      <c r="H9" s="233"/>
      <c r="I9" s="234"/>
      <c r="J9" s="234"/>
      <c r="K9" s="234"/>
      <c r="L9" s="235"/>
      <c r="M9" s="200">
        <f>VLOOKUP("前"&amp;$B9&amp;O$31,'２部南対戦表'!$S$1:$V$89,4,FALSE)</f>
        <v>40371</v>
      </c>
      <c r="N9" s="201"/>
      <c r="O9" s="201"/>
      <c r="P9" s="201"/>
      <c r="Q9" s="202"/>
      <c r="R9" s="200">
        <f>VLOOKUP("前"&amp;$B9&amp;T$31,'２部南対戦表'!$S$1:$V$89,4,FALSE)</f>
        <v>40329</v>
      </c>
      <c r="S9" s="201"/>
      <c r="T9" s="201"/>
      <c r="U9" s="201"/>
      <c r="V9" s="202"/>
      <c r="W9" s="200">
        <f>VLOOKUP("前"&amp;$B9&amp;Y$31,'２部南対戦表'!$S$1:$V$89,4,FALSE)</f>
        <v>40356</v>
      </c>
      <c r="X9" s="201"/>
      <c r="Y9" s="201"/>
      <c r="Z9" s="201"/>
      <c r="AA9" s="202"/>
      <c r="AB9" s="200">
        <f>VLOOKUP("前"&amp;$B9&amp;AD$31,'２部南対戦表'!$S$1:$V$89,4,FALSE)</f>
        <v>40378</v>
      </c>
      <c r="AC9" s="201"/>
      <c r="AD9" s="201"/>
      <c r="AE9" s="201"/>
      <c r="AF9" s="201"/>
      <c r="AG9" s="223">
        <f>IF(AND($AT10=0,$AU10=0,$AV10=0),"",AT10)</f>
        <v>3</v>
      </c>
      <c r="AH9" s="214">
        <f>IF(AND($AT10=0,$AU10=0,$AV10=0),"",AU10)</f>
        <v>1</v>
      </c>
      <c r="AI9" s="214">
        <f>IF(AND($AT10=0,$AU10=0,$AV10=0),"",AV10)</f>
        <v>1</v>
      </c>
      <c r="AJ9" s="377">
        <f>IF(AND($AT10=0,$AU10=0,$AV10=0),"",AW10+AP10)</f>
        <v>10</v>
      </c>
      <c r="AK9" s="260">
        <f>IF(AND($AT10=0,$AU10=0,$AV10=0),"",AT12)</f>
        <v>30</v>
      </c>
      <c r="AL9" s="260">
        <f>IF(AND($AT10=0,$AU10=0,$AV10=0),"",AU12)</f>
        <v>23</v>
      </c>
      <c r="AM9" s="257">
        <f>IF(AND($AT10=0,$AU10=0,$AV10=0),"",AV12)</f>
        <v>7</v>
      </c>
      <c r="AN9" s="226">
        <f>IF(AND($AT10=0,$AU10=0,$AV10=0),"",RANK(AY11,AY$7:AY$27))</f>
        <v>2</v>
      </c>
      <c r="AT9" s="67" t="s">
        <v>92</v>
      </c>
      <c r="AU9" s="67" t="s">
        <v>93</v>
      </c>
      <c r="AV9" s="67" t="s">
        <v>94</v>
      </c>
      <c r="AW9" s="67" t="s">
        <v>95</v>
      </c>
      <c r="AX9" s="30"/>
      <c r="AY9" s="30"/>
      <c r="BA9" s="62">
        <f>IF(D10&lt;&gt;"",D10,0)</f>
        <v>2</v>
      </c>
      <c r="BB9" s="62">
        <f>IF(I10&lt;&gt;"",I10,0)</f>
        <v>0</v>
      </c>
      <c r="BC9" s="62">
        <f>IF(N10&lt;&gt;"",N10,0)</f>
        <v>9</v>
      </c>
      <c r="BD9" s="62">
        <f>IF(S10&lt;&gt;"",S10,0)</f>
        <v>8</v>
      </c>
      <c r="BE9" s="62">
        <f>IF(X10&lt;&gt;"",X10,0)</f>
        <v>7</v>
      </c>
      <c r="BF9" s="62">
        <f>IF(AC10&lt;&gt;"",AC10,0)</f>
        <v>4</v>
      </c>
    </row>
    <row r="10" spans="2:63" ht="24" customHeight="1">
      <c r="B10" s="357" t="str">
        <f>VLOOKUP(B9,'参加チーム'!$B$5:$G$73,IF($AG$3=1,4,5),FALSE)</f>
        <v>azul</v>
      </c>
      <c r="C10" s="41" t="s">
        <v>84</v>
      </c>
      <c r="D10" s="42">
        <f>VLOOKUP("前"&amp;$B9&amp;E$31,'２部南対戦表'!$S$1:$V$89,2,FALSE)</f>
        <v>2</v>
      </c>
      <c r="E10" s="42" t="str">
        <f>IF(D10&lt;&gt;"",IF(D10&gt;F10,"○",IF(D10&lt;F10,"●","△")),"-")</f>
        <v>●</v>
      </c>
      <c r="F10" s="42">
        <f>VLOOKUP("前"&amp;$B9&amp;E$31,'２部南対戦表'!$S$1:$V$89,3,FALSE)</f>
        <v>6</v>
      </c>
      <c r="G10" s="43" t="s">
        <v>85</v>
      </c>
      <c r="H10" s="236"/>
      <c r="I10" s="237"/>
      <c r="J10" s="237"/>
      <c r="K10" s="237"/>
      <c r="L10" s="238"/>
      <c r="M10" s="41" t="s">
        <v>84</v>
      </c>
      <c r="N10" s="42">
        <f>VLOOKUP("前"&amp;$B9&amp;O$31,'２部南対戦表'!$S$1:$V$89,2,FALSE)</f>
        <v>9</v>
      </c>
      <c r="O10" s="42" t="str">
        <f>IF(N10&lt;&gt;"",IF(N10&gt;P10,"○",IF(N10&lt;P10,"●","△")),"-")</f>
        <v>○</v>
      </c>
      <c r="P10" s="42">
        <f>VLOOKUP("前"&amp;$B9&amp;O$31,'２部南対戦表'!$S$1:$V$89,3,FALSE)</f>
        <v>5</v>
      </c>
      <c r="Q10" s="43" t="s">
        <v>85</v>
      </c>
      <c r="R10" s="41" t="s">
        <v>84</v>
      </c>
      <c r="S10" s="42">
        <f>VLOOKUP("前"&amp;$B9&amp;T$31,'２部南対戦表'!$S$1:$V$89,2,FALSE)</f>
        <v>8</v>
      </c>
      <c r="T10" s="42" t="str">
        <f>IF(S10&lt;&gt;"",IF(S10&gt;U10,"○",IF(S10&lt;U10,"●","△")),"-")</f>
        <v>○</v>
      </c>
      <c r="U10" s="42">
        <f>VLOOKUP("前"&amp;$B9&amp;T$31,'２部南対戦表'!$S$1:$V$89,3,FALSE)</f>
        <v>6</v>
      </c>
      <c r="V10" s="43" t="s">
        <v>85</v>
      </c>
      <c r="W10" s="41" t="s">
        <v>84</v>
      </c>
      <c r="X10" s="42">
        <f>VLOOKUP("前"&amp;$B9&amp;Y$31,'２部南対戦表'!$S$1:$V$89,2,FALSE)</f>
        <v>7</v>
      </c>
      <c r="Y10" s="42" t="str">
        <f>IF(X10&lt;&gt;"",IF(X10&gt;Z10,"○",IF(X10&lt;Z10,"●","△")),"-")</f>
        <v>○</v>
      </c>
      <c r="Z10" s="42">
        <f>VLOOKUP("前"&amp;$B9&amp;Y$31,'２部南対戦表'!$S$1:$V$89,3,FALSE)</f>
        <v>2</v>
      </c>
      <c r="AA10" s="43" t="s">
        <v>85</v>
      </c>
      <c r="AB10" s="41" t="s">
        <v>84</v>
      </c>
      <c r="AC10" s="42">
        <f>VLOOKUP("前"&amp;$B9&amp;AD$31,'２部南対戦表'!$S$1:$V$89,2,FALSE)</f>
        <v>4</v>
      </c>
      <c r="AD10" s="42" t="str">
        <f>IF(AC10&lt;&gt;"",IF(AC10&gt;AE10,"○",IF(AC10&lt;AE10,"●","△")),"-")</f>
        <v>△</v>
      </c>
      <c r="AE10" s="42">
        <f>VLOOKUP("前"&amp;$B9&amp;AD$31,'２部南対戦表'!$S$1:$V$89,3,FALSE)</f>
        <v>4</v>
      </c>
      <c r="AF10" s="42" t="s">
        <v>85</v>
      </c>
      <c r="AG10" s="223"/>
      <c r="AH10" s="214"/>
      <c r="AI10" s="214"/>
      <c r="AJ10" s="375"/>
      <c r="AK10" s="261"/>
      <c r="AL10" s="261"/>
      <c r="AM10" s="258"/>
      <c r="AN10" s="227"/>
      <c r="AP10" s="263"/>
      <c r="AQ10" s="61"/>
      <c r="AR10" s="274" t="s">
        <v>308</v>
      </c>
      <c r="AS10" s="61"/>
      <c r="AT10" s="32">
        <f>COUNTIF($C9:$AF12,"○")</f>
        <v>3</v>
      </c>
      <c r="AU10" s="32">
        <f>COUNTIF($C9:$AF12,"△")</f>
        <v>1</v>
      </c>
      <c r="AV10" s="32">
        <f>COUNTIF($C9:$AF12,"●")</f>
        <v>1</v>
      </c>
      <c r="AW10" s="67">
        <f>AT10*3+AU10</f>
        <v>10</v>
      </c>
      <c r="AX10" s="30"/>
      <c r="AY10" s="30"/>
      <c r="BA10" s="63">
        <f>IF(F10&lt;&gt;"",F10,0)</f>
        <v>6</v>
      </c>
      <c r="BB10" s="63">
        <f>IF(K10&lt;&gt;"",K10,0)</f>
        <v>0</v>
      </c>
      <c r="BC10" s="63">
        <f>IF(P10&lt;&gt;"",P10,0)</f>
        <v>5</v>
      </c>
      <c r="BD10" s="63">
        <f>IF(U10&lt;&gt;"",U10,0)</f>
        <v>6</v>
      </c>
      <c r="BE10" s="63">
        <f>IF(Z10&lt;&gt;"",Z10,0)</f>
        <v>2</v>
      </c>
      <c r="BF10" s="63">
        <f>IF(AE10&lt;&gt;"",AE10,0)</f>
        <v>4</v>
      </c>
      <c r="BI10" s="71"/>
      <c r="BJ10" s="71"/>
      <c r="BK10" s="71"/>
    </row>
    <row r="11" spans="2:58" ht="24" customHeight="1" thickBot="1">
      <c r="B11" s="357"/>
      <c r="C11" s="203">
        <f>VLOOKUP("後"&amp;$B9&amp;E$31,'２部南対戦表'!$S$1:$V$89,4,FALSE)</f>
        <v>40463</v>
      </c>
      <c r="D11" s="204"/>
      <c r="E11" s="204"/>
      <c r="F11" s="204"/>
      <c r="G11" s="205"/>
      <c r="H11" s="236"/>
      <c r="I11" s="237"/>
      <c r="J11" s="237"/>
      <c r="K11" s="237"/>
      <c r="L11" s="238"/>
      <c r="M11" s="203">
        <f>VLOOKUP("後"&amp;$B9&amp;O$31,'２部南対戦表'!$S$1:$V$89,4,FALSE)</f>
        <v>40448</v>
      </c>
      <c r="N11" s="204"/>
      <c r="O11" s="204"/>
      <c r="P11" s="204"/>
      <c r="Q11" s="205"/>
      <c r="R11" s="203">
        <f>VLOOKUP("後"&amp;$B9&amp;T$31,'２部南対戦表'!$S$1:$V$89,4,FALSE)</f>
        <v>40441</v>
      </c>
      <c r="S11" s="204"/>
      <c r="T11" s="204"/>
      <c r="U11" s="204"/>
      <c r="V11" s="205"/>
      <c r="W11" s="203">
        <f>VLOOKUP("後"&amp;$B9&amp;Y$31,'２部南対戦表'!$S$1:$V$89,4,FALSE)</f>
        <v>40427</v>
      </c>
      <c r="X11" s="204"/>
      <c r="Y11" s="204"/>
      <c r="Z11" s="204"/>
      <c r="AA11" s="205"/>
      <c r="AB11" s="246">
        <f>VLOOKUP("後"&amp;$B9&amp;AD$31,'２部南対戦表'!$S$1:$V$89,4,FALSE)</f>
        <v>40455</v>
      </c>
      <c r="AC11" s="247"/>
      <c r="AD11" s="247"/>
      <c r="AE11" s="247"/>
      <c r="AF11" s="247"/>
      <c r="AG11" s="223"/>
      <c r="AH11" s="214"/>
      <c r="AI11" s="214"/>
      <c r="AJ11" s="375"/>
      <c r="AK11" s="261"/>
      <c r="AL11" s="261"/>
      <c r="AM11" s="258"/>
      <c r="AN11" s="227"/>
      <c r="AP11" s="264"/>
      <c r="AQ11" s="61"/>
      <c r="AR11" s="275"/>
      <c r="AS11" s="61"/>
      <c r="AT11" s="75" t="s">
        <v>96</v>
      </c>
      <c r="AU11" s="75" t="s">
        <v>97</v>
      </c>
      <c r="AV11" s="75" t="s">
        <v>98</v>
      </c>
      <c r="AW11" s="31"/>
      <c r="AX11" s="31" t="s">
        <v>104</v>
      </c>
      <c r="AY11" s="65">
        <f>IF(AND(AT10=0,AU10=0,AV10=0),0,+AJ9*1000+AM9+IF(AR10=$AT$4,100,0)+IF(AR10=$AV$4,-100,0))</f>
        <v>10107</v>
      </c>
      <c r="BA11" s="63">
        <f>IF(D12&lt;&gt;"",D12,0)</f>
        <v>0</v>
      </c>
      <c r="BB11" s="63">
        <f>IF(I12&lt;&gt;"",I12,0)</f>
        <v>0</v>
      </c>
      <c r="BC11" s="63">
        <f>IF(N12&lt;&gt;"",N12,0)</f>
        <v>0</v>
      </c>
      <c r="BD11" s="63">
        <f>IF(S12&lt;&gt;"",S12,0)</f>
        <v>0</v>
      </c>
      <c r="BE11" s="63">
        <f>IF(X12&lt;&gt;"",X12,0)</f>
        <v>0</v>
      </c>
      <c r="BF11" s="63">
        <f>IF(AC12&lt;&gt;"",AC12,0)</f>
        <v>0</v>
      </c>
    </row>
    <row r="12" spans="2:58" ht="24" customHeight="1">
      <c r="B12" s="437"/>
      <c r="C12" s="38" t="s">
        <v>84</v>
      </c>
      <c r="D12" s="39">
        <f>VLOOKUP("後"&amp;$B9&amp;E$31,'２部南対戦表'!$S$1:$V$89,2,FALSE)</f>
      </c>
      <c r="E12" s="39">
        <f>IF(D12&lt;&gt;"",IF(D12&gt;F12,"○",IF(D12&lt;F12,"●","△")),"")</f>
      </c>
      <c r="F12" s="39">
        <f>VLOOKUP("後"&amp;$B9&amp;E$31,'２部南対戦表'!$S$1:$V$89,3,FALSE)</f>
      </c>
      <c r="G12" s="40" t="s">
        <v>85</v>
      </c>
      <c r="H12" s="239"/>
      <c r="I12" s="240"/>
      <c r="J12" s="240"/>
      <c r="K12" s="240"/>
      <c r="L12" s="241"/>
      <c r="M12" s="38" t="s">
        <v>84</v>
      </c>
      <c r="N12" s="39">
        <f>VLOOKUP("後"&amp;$B9&amp;O$31,'２部南対戦表'!$S$1:$V$89,2,FALSE)</f>
      </c>
      <c r="O12" s="39">
        <f>IF(N12&lt;&gt;"",IF(N12&gt;P12,"○",IF(N12&lt;P12,"●","△")),"")</f>
      </c>
      <c r="P12" s="39">
        <f>VLOOKUP("後"&amp;$B9&amp;O$31,'２部南対戦表'!$S$1:$V$89,3,FALSE)</f>
      </c>
      <c r="Q12" s="40" t="s">
        <v>85</v>
      </c>
      <c r="R12" s="38" t="s">
        <v>84</v>
      </c>
      <c r="S12" s="39">
        <f>VLOOKUP("後"&amp;$B9&amp;T$31,'２部南対戦表'!$S$1:$V$89,2,FALSE)</f>
      </c>
      <c r="T12" s="39">
        <f>IF(S12&lt;&gt;"",IF(S12&gt;U12,"○",IF(S12&lt;U12,"●","△")),"")</f>
      </c>
      <c r="U12" s="39">
        <f>VLOOKUP("後"&amp;$B9&amp;T$31,'２部南対戦表'!$S$1:$V$89,3,FALSE)</f>
      </c>
      <c r="V12" s="40" t="s">
        <v>85</v>
      </c>
      <c r="W12" s="38" t="s">
        <v>84</v>
      </c>
      <c r="X12" s="39">
        <f>VLOOKUP("後"&amp;$B9&amp;Y$31,'２部南対戦表'!$S$1:$V$89,2,FALSE)</f>
      </c>
      <c r="Y12" s="39">
        <f>IF(X12&lt;&gt;"",IF(X12&gt;Z12,"○",IF(X12&lt;Z12,"●","△")),"")</f>
      </c>
      <c r="Z12" s="39">
        <f>VLOOKUP("後"&amp;$B9&amp;Y$31,'２部南対戦表'!$S$1:$V$89,3,FALSE)</f>
      </c>
      <c r="AA12" s="40" t="s">
        <v>85</v>
      </c>
      <c r="AB12" s="38" t="s">
        <v>84</v>
      </c>
      <c r="AC12" s="39">
        <f>VLOOKUP("後"&amp;$B9&amp;AD$31,'２部南対戦表'!$S$1:$V$89,2,FALSE)</f>
      </c>
      <c r="AD12" s="39">
        <f>IF(AC12&lt;&gt;"",IF(AC12&gt;AE12,"○",IF(AC12&lt;AE12,"●","△")),"")</f>
      </c>
      <c r="AE12" s="39">
        <f>VLOOKUP("後"&amp;$B9&amp;AD$31,'２部南対戦表'!$S$1:$V$89,3,FALSE)</f>
      </c>
      <c r="AF12" s="39" t="s">
        <v>85</v>
      </c>
      <c r="AG12" s="224"/>
      <c r="AH12" s="225"/>
      <c r="AI12" s="225"/>
      <c r="AJ12" s="378"/>
      <c r="AK12" s="262"/>
      <c r="AL12" s="262"/>
      <c r="AM12" s="259"/>
      <c r="AN12" s="228"/>
      <c r="AT12" s="75">
        <f>SUM(BA9:BF9)+SUM(BA11:BF11)</f>
        <v>30</v>
      </c>
      <c r="AU12" s="75">
        <f>SUM(BA10:BF10)+SUM(BA12:BF12)</f>
        <v>23</v>
      </c>
      <c r="AV12" s="57">
        <f>+AT12-AU12</f>
        <v>7</v>
      </c>
      <c r="AW12" s="31"/>
      <c r="AX12" s="31"/>
      <c r="AY12" s="31"/>
      <c r="BA12" s="64">
        <f>IF(F12&lt;&gt;"",F12,0)</f>
        <v>0</v>
      </c>
      <c r="BB12" s="64">
        <f>IF(K12&lt;&gt;"",K12,0)</f>
        <v>0</v>
      </c>
      <c r="BC12" s="64">
        <f>IF(P12&lt;&gt;"",P12,0)</f>
        <v>0</v>
      </c>
      <c r="BD12" s="64">
        <f>IF(U12&lt;&gt;"",U12,0)</f>
        <v>0</v>
      </c>
      <c r="BE12" s="64">
        <f>IF(Z12&lt;&gt;"",Z12,0)</f>
        <v>0</v>
      </c>
      <c r="BF12" s="64">
        <f>IF(AE12&lt;&gt;"",AE12,0)</f>
        <v>0</v>
      </c>
    </row>
    <row r="13" spans="2:58" ht="24" customHeight="1" thickBot="1">
      <c r="B13" s="3" t="str">
        <f>+AN57</f>
        <v>南Ａ</v>
      </c>
      <c r="C13" s="200">
        <f>VLOOKUP("前"&amp;$B13&amp;E$31,'２部南対戦表'!$S$1:$V$89,4,FALSE)</f>
        <v>40356</v>
      </c>
      <c r="D13" s="201"/>
      <c r="E13" s="201"/>
      <c r="F13" s="201"/>
      <c r="G13" s="202"/>
      <c r="H13" s="200">
        <f>VLOOKUP("前"&amp;$B13&amp;J$31,'２部南対戦表'!$S$1:$V$89,4,FALSE)</f>
        <v>40371</v>
      </c>
      <c r="I13" s="201"/>
      <c r="J13" s="201"/>
      <c r="K13" s="201"/>
      <c r="L13" s="202"/>
      <c r="M13" s="233"/>
      <c r="N13" s="234"/>
      <c r="O13" s="234"/>
      <c r="P13" s="234"/>
      <c r="Q13" s="235"/>
      <c r="R13" s="200">
        <f>VLOOKUP("前"&amp;$B13&amp;T$31,'２部南対戦表'!$S$1:$V$89,4,FALSE)</f>
        <v>40315</v>
      </c>
      <c r="S13" s="201"/>
      <c r="T13" s="201"/>
      <c r="U13" s="201"/>
      <c r="V13" s="202"/>
      <c r="W13" s="200">
        <f>VLOOKUP("前"&amp;$B13&amp;Y$31,'２部南対戦表'!$S$1:$V$89,4,FALSE)</f>
        <v>40378</v>
      </c>
      <c r="X13" s="201"/>
      <c r="Y13" s="201"/>
      <c r="Z13" s="201"/>
      <c r="AA13" s="202"/>
      <c r="AB13" s="200">
        <f>VLOOKUP("前"&amp;$B13&amp;AD$31,'２部南対戦表'!$S$1:$V$89,4,FALSE)</f>
        <v>40329</v>
      </c>
      <c r="AC13" s="201"/>
      <c r="AD13" s="201"/>
      <c r="AE13" s="201"/>
      <c r="AF13" s="201"/>
      <c r="AG13" s="223">
        <f>IF(AND($AT14=0,$AU14=0,$AV14=0),"",AT14)</f>
        <v>3</v>
      </c>
      <c r="AH13" s="214">
        <f>IF(AND($AT14=0,$AU14=0,$AV14=0),"",AU14)</f>
        <v>1</v>
      </c>
      <c r="AI13" s="214">
        <f>IF(AND($AT14=0,$AU14=0,$AV14=0),"",AV14)</f>
        <v>1</v>
      </c>
      <c r="AJ13" s="377">
        <f>IF(AND($AT14=0,$AU14=0,$AV14=0),"",AW14+AP14)</f>
        <v>10</v>
      </c>
      <c r="AK13" s="260">
        <f>IF(AND($AT14=0,$AU14=0,$AV14=0),"",AT16)</f>
        <v>22</v>
      </c>
      <c r="AL13" s="260">
        <f>IF(AND($AT14=0,$AU14=0,$AV14=0),"",AU16)</f>
        <v>12</v>
      </c>
      <c r="AM13" s="257">
        <f>IF(AND($AT14=0,$AU14=0,$AV14=0),"",AV16)</f>
        <v>10</v>
      </c>
      <c r="AN13" s="226">
        <f>IF(AND($AT14=0,$AU14=0,$AV14=0),"",RANK(AY15,AY$7:AY$27))</f>
        <v>3</v>
      </c>
      <c r="AT13" s="67" t="s">
        <v>92</v>
      </c>
      <c r="AU13" s="67" t="s">
        <v>93</v>
      </c>
      <c r="AV13" s="67" t="s">
        <v>94</v>
      </c>
      <c r="AW13" s="67" t="s">
        <v>95</v>
      </c>
      <c r="AX13" s="30"/>
      <c r="AY13" s="30"/>
      <c r="BA13" s="62">
        <f>IF(D14&lt;&gt;"",D14,0)</f>
        <v>1</v>
      </c>
      <c r="BB13" s="62">
        <f>IF(I14&lt;&gt;"",I14,0)</f>
        <v>5</v>
      </c>
      <c r="BC13" s="62">
        <f>IF(N14&lt;&gt;"",N14,0)</f>
        <v>0</v>
      </c>
      <c r="BD13" s="62">
        <f>IF(S14&lt;&gt;"",S14,0)</f>
        <v>7</v>
      </c>
      <c r="BE13" s="62">
        <f>IF(X14&lt;&gt;"",X14,0)</f>
        <v>5</v>
      </c>
      <c r="BF13" s="62">
        <f>IF(AC14&lt;&gt;"",AC14,0)</f>
        <v>4</v>
      </c>
    </row>
    <row r="14" spans="2:63" ht="24" customHeight="1">
      <c r="B14" s="357" t="str">
        <f>VLOOKUP(B13,'参加チーム'!$B$5:$G$73,IF($AG$3=1,4,5),FALSE)</f>
        <v>Zoorasia</v>
      </c>
      <c r="C14" s="41" t="s">
        <v>84</v>
      </c>
      <c r="D14" s="42">
        <f>VLOOKUP("前"&amp;$B13&amp;E$31,'２部南対戦表'!$S$1:$V$89,2,FALSE)</f>
        <v>1</v>
      </c>
      <c r="E14" s="42" t="str">
        <f>IF(D14&lt;&gt;"",IF(D14&gt;F14,"○",IF(D14&lt;F14,"●","△")),"-")</f>
        <v>△</v>
      </c>
      <c r="F14" s="42">
        <f>VLOOKUP("前"&amp;$B13&amp;E$31,'２部南対戦表'!$S$1:$V$89,3,FALSE)</f>
        <v>1</v>
      </c>
      <c r="G14" s="43" t="s">
        <v>85</v>
      </c>
      <c r="H14" s="41" t="s">
        <v>84</v>
      </c>
      <c r="I14" s="42">
        <f>VLOOKUP("前"&amp;$B13&amp;J$31,'２部南対戦表'!$S$1:$V$89,2,FALSE)</f>
        <v>5</v>
      </c>
      <c r="J14" s="42" t="str">
        <f>IF(I14&lt;&gt;"",IF(I14&gt;K14,"○",IF(I14&lt;K14,"●","△")),"-")</f>
        <v>●</v>
      </c>
      <c r="K14" s="42">
        <f>VLOOKUP("前"&amp;$B13&amp;J$31,'２部南対戦表'!$S$1:$V$89,3,FALSE)</f>
        <v>9</v>
      </c>
      <c r="L14" s="43" t="s">
        <v>85</v>
      </c>
      <c r="M14" s="236"/>
      <c r="N14" s="237"/>
      <c r="O14" s="237"/>
      <c r="P14" s="237"/>
      <c r="Q14" s="238"/>
      <c r="R14" s="41" t="s">
        <v>84</v>
      </c>
      <c r="S14" s="42">
        <f>VLOOKUP("前"&amp;$B13&amp;T$31,'２部南対戦表'!$S$1:$V$89,2,FALSE)</f>
        <v>7</v>
      </c>
      <c r="T14" s="42" t="str">
        <f>IF(S14&lt;&gt;"",IF(S14&gt;U14,"○",IF(S14&lt;U14,"●","△")),"-")</f>
        <v>○</v>
      </c>
      <c r="U14" s="42">
        <f>VLOOKUP("前"&amp;$B13&amp;T$31,'２部南対戦表'!$S$1:$V$89,3,FALSE)</f>
        <v>1</v>
      </c>
      <c r="V14" s="43" t="s">
        <v>85</v>
      </c>
      <c r="W14" s="41" t="s">
        <v>84</v>
      </c>
      <c r="X14" s="42">
        <f>VLOOKUP("前"&amp;$B13&amp;Y$31,'２部南対戦表'!$S$1:$V$89,2,FALSE)</f>
        <v>5</v>
      </c>
      <c r="Y14" s="42" t="str">
        <f>IF(X14&lt;&gt;"",IF(X14&gt;Z14,"○",IF(X14&lt;Z14,"●","△")),"-")</f>
        <v>○</v>
      </c>
      <c r="Z14" s="42">
        <f>VLOOKUP("前"&amp;$B13&amp;Y$31,'２部南対戦表'!$S$1:$V$89,3,FALSE)</f>
        <v>0</v>
      </c>
      <c r="AA14" s="43" t="s">
        <v>85</v>
      </c>
      <c r="AB14" s="41" t="s">
        <v>84</v>
      </c>
      <c r="AC14" s="42">
        <f>VLOOKUP("前"&amp;$B13&amp;AD$31,'２部南対戦表'!$S$1:$V$89,2,FALSE)</f>
        <v>4</v>
      </c>
      <c r="AD14" s="42" t="str">
        <f>IF(AC14&lt;&gt;"",IF(AC14&gt;AE14,"○",IF(AC14&lt;AE14,"●","△")),"-")</f>
        <v>○</v>
      </c>
      <c r="AE14" s="42">
        <f>VLOOKUP("前"&amp;$B13&amp;AD$31,'２部南対戦表'!$S$1:$V$89,3,FALSE)</f>
        <v>1</v>
      </c>
      <c r="AF14" s="42" t="s">
        <v>85</v>
      </c>
      <c r="AG14" s="223"/>
      <c r="AH14" s="214"/>
      <c r="AI14" s="214"/>
      <c r="AJ14" s="375"/>
      <c r="AK14" s="261"/>
      <c r="AL14" s="261"/>
      <c r="AM14" s="258"/>
      <c r="AN14" s="227"/>
      <c r="AP14" s="263"/>
      <c r="AQ14" s="61"/>
      <c r="AR14" s="274" t="s">
        <v>309</v>
      </c>
      <c r="AS14" s="61"/>
      <c r="AT14" s="32">
        <f>COUNTIF($C13:$AF16,"○")</f>
        <v>3</v>
      </c>
      <c r="AU14" s="32">
        <f>COUNTIF($C13:$AF16,"△")</f>
        <v>1</v>
      </c>
      <c r="AV14" s="32">
        <f>COUNTIF($C13:$AF16,"●")</f>
        <v>1</v>
      </c>
      <c r="AW14" s="67">
        <f>AT14*3+AU14</f>
        <v>10</v>
      </c>
      <c r="AX14" s="30"/>
      <c r="AY14" s="30"/>
      <c r="BA14" s="63">
        <f>IF(F14&lt;&gt;"",F14,0)</f>
        <v>1</v>
      </c>
      <c r="BB14" s="63">
        <f>IF(K14&lt;&gt;"",K14,0)</f>
        <v>9</v>
      </c>
      <c r="BC14" s="63">
        <f>IF(P14&lt;&gt;"",P14,0)</f>
        <v>0</v>
      </c>
      <c r="BD14" s="63">
        <f>IF(U14&lt;&gt;"",U14,0)</f>
        <v>1</v>
      </c>
      <c r="BE14" s="63">
        <f>IF(Z14&lt;&gt;"",Z14,0)</f>
        <v>0</v>
      </c>
      <c r="BF14" s="63">
        <f>IF(AE14&lt;&gt;"",AE14,0)</f>
        <v>1</v>
      </c>
      <c r="BI14" s="71"/>
      <c r="BJ14" s="71"/>
      <c r="BK14" s="71"/>
    </row>
    <row r="15" spans="2:58" ht="24" customHeight="1" thickBot="1">
      <c r="B15" s="357"/>
      <c r="C15" s="203">
        <f>VLOOKUP("後"&amp;$B13&amp;E$31,'２部南対戦表'!$S$1:$V$89,4,FALSE)</f>
        <v>40455</v>
      </c>
      <c r="D15" s="204"/>
      <c r="E15" s="204"/>
      <c r="F15" s="204"/>
      <c r="G15" s="205"/>
      <c r="H15" s="203">
        <f>VLOOKUP("後"&amp;$B13&amp;J$31,'２部南対戦表'!$S$1:$V$89,4,FALSE)</f>
        <v>40448</v>
      </c>
      <c r="I15" s="204"/>
      <c r="J15" s="204"/>
      <c r="K15" s="204"/>
      <c r="L15" s="205"/>
      <c r="M15" s="236"/>
      <c r="N15" s="237"/>
      <c r="O15" s="237"/>
      <c r="P15" s="237"/>
      <c r="Q15" s="238"/>
      <c r="R15" s="203">
        <f>VLOOKUP("後"&amp;$B13&amp;T$31,'２部南対戦表'!$S$1:$V$89,4,FALSE)</f>
        <v>40427</v>
      </c>
      <c r="S15" s="204"/>
      <c r="T15" s="204"/>
      <c r="U15" s="204"/>
      <c r="V15" s="205"/>
      <c r="W15" s="203">
        <f>VLOOKUP("後"&amp;$B13&amp;Y$31,'２部南対戦表'!$S$1:$V$89,4,FALSE)</f>
        <v>40463</v>
      </c>
      <c r="X15" s="204"/>
      <c r="Y15" s="204"/>
      <c r="Z15" s="204"/>
      <c r="AA15" s="205"/>
      <c r="AB15" s="246">
        <f>VLOOKUP("後"&amp;$B13&amp;AD$31,'２部南対戦表'!$S$1:$V$89,4,FALSE)</f>
        <v>40441</v>
      </c>
      <c r="AC15" s="247"/>
      <c r="AD15" s="247"/>
      <c r="AE15" s="247"/>
      <c r="AF15" s="247"/>
      <c r="AG15" s="223"/>
      <c r="AH15" s="214"/>
      <c r="AI15" s="214"/>
      <c r="AJ15" s="375"/>
      <c r="AK15" s="261"/>
      <c r="AL15" s="261"/>
      <c r="AM15" s="258"/>
      <c r="AN15" s="227"/>
      <c r="AP15" s="264"/>
      <c r="AQ15" s="61"/>
      <c r="AR15" s="275"/>
      <c r="AS15" s="61"/>
      <c r="AT15" s="75" t="s">
        <v>96</v>
      </c>
      <c r="AU15" s="75" t="s">
        <v>97</v>
      </c>
      <c r="AV15" s="75" t="s">
        <v>98</v>
      </c>
      <c r="AW15" s="31"/>
      <c r="AX15" s="31" t="s">
        <v>104</v>
      </c>
      <c r="AY15" s="65">
        <f>IF(AND(AT14=0,AU14=0,AV14=0),0,+AJ13*1000+AM13+IF(AR14=$AT$4,100,0)+IF(AR14=$AV$4,-100,0))</f>
        <v>9910</v>
      </c>
      <c r="BA15" s="63">
        <f>IF(D16&lt;&gt;"",D16,0)</f>
        <v>0</v>
      </c>
      <c r="BB15" s="63">
        <f>IF(I16&lt;&gt;"",I16,0)</f>
        <v>0</v>
      </c>
      <c r="BC15" s="63">
        <f>IF(N16&lt;&gt;"",N16,0)</f>
        <v>0</v>
      </c>
      <c r="BD15" s="63">
        <f>IF(S16&lt;&gt;"",S16,0)</f>
        <v>0</v>
      </c>
      <c r="BE15" s="63">
        <f>IF(X16&lt;&gt;"",X16,0)</f>
        <v>0</v>
      </c>
      <c r="BF15" s="63">
        <f>IF(AC16&lt;&gt;"",AC16,0)</f>
        <v>0</v>
      </c>
    </row>
    <row r="16" spans="2:58" ht="24" customHeight="1">
      <c r="B16" s="437"/>
      <c r="C16" s="38" t="s">
        <v>84</v>
      </c>
      <c r="D16" s="39">
        <f>VLOOKUP("後"&amp;$B13&amp;E$31,'２部南対戦表'!$S$1:$V$89,2,FALSE)</f>
      </c>
      <c r="E16" s="39">
        <f>IF(D16&lt;&gt;"",IF(D16&gt;F16,"○",IF(D16&lt;F16,"●","△")),"")</f>
      </c>
      <c r="F16" s="39">
        <f>VLOOKUP("後"&amp;$B13&amp;E$31,'２部南対戦表'!$S$1:$V$89,3,FALSE)</f>
      </c>
      <c r="G16" s="40" t="s">
        <v>85</v>
      </c>
      <c r="H16" s="38" t="s">
        <v>84</v>
      </c>
      <c r="I16" s="39">
        <f>VLOOKUP("後"&amp;$B13&amp;J$31,'２部南対戦表'!$S$1:$V$89,2,FALSE)</f>
      </c>
      <c r="J16" s="39">
        <f>IF(I16&lt;&gt;"",IF(I16&gt;K16,"○",IF(I16&lt;K16,"●","△")),"")</f>
      </c>
      <c r="K16" s="39">
        <f>VLOOKUP("後"&amp;$B13&amp;J$31,'２部南対戦表'!$S$1:$V$89,3,FALSE)</f>
      </c>
      <c r="L16" s="40" t="s">
        <v>85</v>
      </c>
      <c r="M16" s="239"/>
      <c r="N16" s="240"/>
      <c r="O16" s="240"/>
      <c r="P16" s="240"/>
      <c r="Q16" s="241"/>
      <c r="R16" s="38" t="s">
        <v>84</v>
      </c>
      <c r="S16" s="39">
        <f>VLOOKUP("後"&amp;$B13&amp;T$31,'２部南対戦表'!$S$1:$V$89,2,FALSE)</f>
      </c>
      <c r="T16" s="39">
        <f>IF(S16&lt;&gt;"",IF(S16&gt;U16,"○",IF(S16&lt;U16,"●","△")),"")</f>
      </c>
      <c r="U16" s="39">
        <f>VLOOKUP("後"&amp;$B13&amp;T$31,'２部南対戦表'!$S$1:$V$89,3,FALSE)</f>
      </c>
      <c r="V16" s="40" t="s">
        <v>85</v>
      </c>
      <c r="W16" s="38" t="s">
        <v>84</v>
      </c>
      <c r="X16" s="39">
        <f>VLOOKUP("後"&amp;$B13&amp;Y$31,'２部南対戦表'!$S$1:$V$89,2,FALSE)</f>
      </c>
      <c r="Y16" s="39">
        <f>IF(X16&lt;&gt;"",IF(X16&gt;Z16,"○",IF(X16&lt;Z16,"●","△")),"")</f>
      </c>
      <c r="Z16" s="39">
        <f>VLOOKUP("後"&amp;$B13&amp;Y$31,'２部南対戦表'!$S$1:$V$89,3,FALSE)</f>
      </c>
      <c r="AA16" s="40" t="s">
        <v>85</v>
      </c>
      <c r="AB16" s="38" t="s">
        <v>84</v>
      </c>
      <c r="AC16" s="39">
        <f>VLOOKUP("後"&amp;$B13&amp;AD$31,'２部南対戦表'!$S$1:$V$89,2,FALSE)</f>
      </c>
      <c r="AD16" s="39">
        <f>IF(AC16&lt;&gt;"",IF(AC16&gt;AE16,"○",IF(AC16&lt;AE16,"●","△")),"")</f>
      </c>
      <c r="AE16" s="39">
        <f>VLOOKUP("後"&amp;$B13&amp;AD$31,'２部南対戦表'!$S$1:$V$89,3,FALSE)</f>
      </c>
      <c r="AF16" s="39" t="s">
        <v>85</v>
      </c>
      <c r="AG16" s="224"/>
      <c r="AH16" s="225"/>
      <c r="AI16" s="225"/>
      <c r="AJ16" s="378"/>
      <c r="AK16" s="262"/>
      <c r="AL16" s="262"/>
      <c r="AM16" s="259"/>
      <c r="AN16" s="228"/>
      <c r="AT16" s="75">
        <f>SUM(BA13:BF13)+SUM(BA15:BF15)</f>
        <v>22</v>
      </c>
      <c r="AU16" s="75">
        <f>SUM(BA14:BF14)+SUM(BA16:BF16)</f>
        <v>12</v>
      </c>
      <c r="AV16" s="57">
        <f>+AT16-AU16</f>
        <v>10</v>
      </c>
      <c r="AW16" s="31"/>
      <c r="AX16" s="31"/>
      <c r="AY16" s="31"/>
      <c r="BA16" s="64">
        <f>IF(F16&lt;&gt;"",F16,0)</f>
        <v>0</v>
      </c>
      <c r="BB16" s="64">
        <f>IF(K16&lt;&gt;"",K16,0)</f>
        <v>0</v>
      </c>
      <c r="BC16" s="64">
        <f>IF(P16&lt;&gt;"",P16,0)</f>
        <v>0</v>
      </c>
      <c r="BD16" s="64">
        <f>IF(U16&lt;&gt;"",U16,0)</f>
        <v>0</v>
      </c>
      <c r="BE16" s="64">
        <f>IF(Z16&lt;&gt;"",Z16,0)</f>
        <v>0</v>
      </c>
      <c r="BF16" s="64">
        <f>IF(AE16&lt;&gt;"",AE16,0)</f>
        <v>0</v>
      </c>
    </row>
    <row r="17" spans="2:58" ht="24" customHeight="1" thickBot="1">
      <c r="B17" s="3" t="str">
        <f>+AN58</f>
        <v>南Ｆ</v>
      </c>
      <c r="C17" s="200">
        <f>VLOOKUP("前"&amp;$B17&amp;E$31,'２部南対戦表'!$S$1:$V$89,4,FALSE)</f>
        <v>40378</v>
      </c>
      <c r="D17" s="201"/>
      <c r="E17" s="201"/>
      <c r="F17" s="201"/>
      <c r="G17" s="202"/>
      <c r="H17" s="200">
        <f>VLOOKUP("前"&amp;$B17&amp;J$31,'２部南対戦表'!$S$1:$V$89,4,FALSE)</f>
        <v>40329</v>
      </c>
      <c r="I17" s="201"/>
      <c r="J17" s="201"/>
      <c r="K17" s="201"/>
      <c r="L17" s="202"/>
      <c r="M17" s="200">
        <f>VLOOKUP("前"&amp;$B17&amp;O$31,'２部南対戦表'!$S$1:$V$89,4,FALSE)</f>
        <v>40315</v>
      </c>
      <c r="N17" s="201"/>
      <c r="O17" s="201"/>
      <c r="P17" s="201"/>
      <c r="Q17" s="202"/>
      <c r="R17" s="233"/>
      <c r="S17" s="234"/>
      <c r="T17" s="234"/>
      <c r="U17" s="234"/>
      <c r="V17" s="235"/>
      <c r="W17" s="200">
        <f>VLOOKUP("前"&amp;$B17&amp;Y$31,'２部南対戦表'!$S$1:$V$89,4,FALSE)</f>
        <v>40371</v>
      </c>
      <c r="X17" s="201"/>
      <c r="Y17" s="201"/>
      <c r="Z17" s="201"/>
      <c r="AA17" s="202"/>
      <c r="AB17" s="200">
        <f>VLOOKUP("前"&amp;$B17&amp;AD$31,'２部南対戦表'!$S$1:$V$89,4,FALSE)</f>
        <v>40356</v>
      </c>
      <c r="AC17" s="201"/>
      <c r="AD17" s="201"/>
      <c r="AE17" s="201"/>
      <c r="AF17" s="201"/>
      <c r="AG17" s="223">
        <f>IF(AND($AT18=0,$AU18=0,$AV18=0),"",AT18)</f>
        <v>2</v>
      </c>
      <c r="AH17" s="214">
        <f>IF(AND($AT18=0,$AU18=0,$AV18=0),"",AU18)</f>
        <v>0</v>
      </c>
      <c r="AI17" s="214">
        <f>IF(AND($AT18=0,$AU18=0,$AV18=0),"",AV18)</f>
        <v>3</v>
      </c>
      <c r="AJ17" s="377">
        <f>IF(AND($AT18=0,$AU18=0,$AV18=0),"",AW18+AP18)</f>
        <v>6</v>
      </c>
      <c r="AK17" s="260">
        <f>IF(AND($AT18=0,$AU18=0,$AV18=0),"",AT20)</f>
        <v>20</v>
      </c>
      <c r="AL17" s="260">
        <f>IF(AND($AT18=0,$AU18=0,$AV18=0),"",AU20)</f>
        <v>31</v>
      </c>
      <c r="AM17" s="257">
        <f>IF(AND($AT18=0,$AU18=0,$AV18=0),"",AV20)</f>
        <v>-11</v>
      </c>
      <c r="AN17" s="226">
        <f>IF(AND($AT18=0,$AU18=0,$AV18=0),"",RANK(AY19,AY$7:AY$27))</f>
        <v>4</v>
      </c>
      <c r="AT17" s="67" t="s">
        <v>92</v>
      </c>
      <c r="AU17" s="67" t="s">
        <v>93</v>
      </c>
      <c r="AV17" s="67" t="s">
        <v>94</v>
      </c>
      <c r="AW17" s="67" t="s">
        <v>95</v>
      </c>
      <c r="AX17" s="30"/>
      <c r="AY17" s="30"/>
      <c r="BA17" s="62">
        <f>IF(D18&lt;&gt;"",D18,0)</f>
        <v>2</v>
      </c>
      <c r="BB17" s="62">
        <f>IF(I18&lt;&gt;"",I18,0)</f>
        <v>6</v>
      </c>
      <c r="BC17" s="62">
        <f>IF(N18&lt;&gt;"",N18,0)</f>
        <v>1</v>
      </c>
      <c r="BD17" s="62">
        <f>IF(S18&lt;&gt;"",S18,0)</f>
        <v>0</v>
      </c>
      <c r="BE17" s="62">
        <f>IF(X18&lt;&gt;"",X18,0)</f>
        <v>5</v>
      </c>
      <c r="BF17" s="62">
        <f>IF(AC18&lt;&gt;"",AC18,0)</f>
        <v>6</v>
      </c>
    </row>
    <row r="18" spans="2:63" ht="24" customHeight="1">
      <c r="B18" s="357" t="str">
        <f>VLOOKUP(B17,'参加チーム'!$B$5:$G$73,IF($AG$3=1,4,5),FALSE)</f>
        <v>Craque</v>
      </c>
      <c r="C18" s="41" t="s">
        <v>84</v>
      </c>
      <c r="D18" s="42">
        <f>VLOOKUP("前"&amp;$B17&amp;E$31,'２部南対戦表'!$S$1:$V$89,2,FALSE)</f>
        <v>2</v>
      </c>
      <c r="E18" s="42" t="str">
        <f>IF(D18&lt;&gt;"",IF(D18&gt;F18,"○",IF(D18&lt;F18,"●","△")),"-")</f>
        <v>●</v>
      </c>
      <c r="F18" s="42">
        <f>VLOOKUP("前"&amp;$B17&amp;E$31,'２部南対戦表'!$S$1:$V$89,3,FALSE)</f>
        <v>9</v>
      </c>
      <c r="G18" s="43" t="s">
        <v>85</v>
      </c>
      <c r="H18" s="41" t="s">
        <v>84</v>
      </c>
      <c r="I18" s="42">
        <f>VLOOKUP("前"&amp;$B17&amp;J$31,'２部南対戦表'!$S$1:$V$89,2,FALSE)</f>
        <v>6</v>
      </c>
      <c r="J18" s="42" t="str">
        <f>IF(I18&lt;&gt;"",IF(I18&gt;K18,"○",IF(I18&lt;K18,"●","△")),"-")</f>
        <v>●</v>
      </c>
      <c r="K18" s="42">
        <f>VLOOKUP("前"&amp;$B17&amp;J$31,'２部南対戦表'!$S$1:$V$89,3,FALSE)</f>
        <v>8</v>
      </c>
      <c r="L18" s="43" t="s">
        <v>85</v>
      </c>
      <c r="M18" s="41" t="s">
        <v>84</v>
      </c>
      <c r="N18" s="42">
        <f>VLOOKUP("前"&amp;$B17&amp;O$31,'２部南対戦表'!$S$1:$V$89,2,FALSE)</f>
        <v>1</v>
      </c>
      <c r="O18" s="42" t="str">
        <f>IF(N18&lt;&gt;"",IF(N18&gt;P18,"○",IF(N18&lt;P18,"●","△")),"-")</f>
        <v>●</v>
      </c>
      <c r="P18" s="42">
        <f>VLOOKUP("前"&amp;$B17&amp;O$31,'２部南対戦表'!$S$1:$V$89,3,FALSE)</f>
        <v>7</v>
      </c>
      <c r="Q18" s="43" t="s">
        <v>85</v>
      </c>
      <c r="R18" s="236"/>
      <c r="S18" s="237"/>
      <c r="T18" s="237"/>
      <c r="U18" s="237"/>
      <c r="V18" s="238"/>
      <c r="W18" s="41" t="s">
        <v>84</v>
      </c>
      <c r="X18" s="42">
        <f>VLOOKUP("前"&amp;$B17&amp;Y$31,'２部南対戦表'!$S$1:$V$89,2,FALSE)</f>
        <v>5</v>
      </c>
      <c r="Y18" s="42" t="str">
        <f>IF(X18&lt;&gt;"",IF(X18&gt;Z18,"○",IF(X18&lt;Z18,"●","△")),"-")</f>
        <v>○</v>
      </c>
      <c r="Z18" s="42">
        <f>VLOOKUP("前"&amp;$B17&amp;Y$31,'２部南対戦表'!$S$1:$V$89,3,FALSE)</f>
        <v>4</v>
      </c>
      <c r="AA18" s="43" t="s">
        <v>85</v>
      </c>
      <c r="AB18" s="41" t="s">
        <v>84</v>
      </c>
      <c r="AC18" s="42">
        <f>VLOOKUP("前"&amp;$B17&amp;AD$31,'２部南対戦表'!$S$1:$V$89,2,FALSE)</f>
        <v>6</v>
      </c>
      <c r="AD18" s="42" t="str">
        <f>IF(AC18&lt;&gt;"",IF(AC18&gt;AE18,"○",IF(AC18&lt;AE18,"●","△")),"-")</f>
        <v>○</v>
      </c>
      <c r="AE18" s="42">
        <f>VLOOKUP("前"&amp;$B17&amp;AD$31,'２部南対戦表'!$S$1:$V$89,3,FALSE)</f>
        <v>3</v>
      </c>
      <c r="AF18" s="42" t="s">
        <v>85</v>
      </c>
      <c r="AG18" s="223"/>
      <c r="AH18" s="214"/>
      <c r="AI18" s="214"/>
      <c r="AJ18" s="375"/>
      <c r="AK18" s="261"/>
      <c r="AL18" s="261"/>
      <c r="AM18" s="258"/>
      <c r="AN18" s="227"/>
      <c r="AP18" s="263"/>
      <c r="AQ18" s="61"/>
      <c r="AR18" s="274"/>
      <c r="AS18" s="61"/>
      <c r="AT18" s="32">
        <f>COUNTIF($C17:$AF20,"○")</f>
        <v>2</v>
      </c>
      <c r="AU18" s="32">
        <f>COUNTIF($C17:$AF20,"△")</f>
        <v>0</v>
      </c>
      <c r="AV18" s="32">
        <f>COUNTIF($C17:$AF20,"●")</f>
        <v>3</v>
      </c>
      <c r="AW18" s="67">
        <f>AT18*3+AU18</f>
        <v>6</v>
      </c>
      <c r="AX18" s="30"/>
      <c r="AY18" s="30"/>
      <c r="BA18" s="63">
        <f>IF(F18&lt;&gt;"",F18,0)</f>
        <v>9</v>
      </c>
      <c r="BB18" s="63">
        <f>IF(K18&lt;&gt;"",K18,0)</f>
        <v>8</v>
      </c>
      <c r="BC18" s="63">
        <f>IF(P18&lt;&gt;"",P18,0)</f>
        <v>7</v>
      </c>
      <c r="BD18" s="63">
        <f>IF(U18&lt;&gt;"",U18,0)</f>
        <v>0</v>
      </c>
      <c r="BE18" s="63">
        <f>IF(Z18&lt;&gt;"",Z18,0)</f>
        <v>4</v>
      </c>
      <c r="BF18" s="63">
        <f>IF(AE18&lt;&gt;"",AE18,0)</f>
        <v>3</v>
      </c>
      <c r="BI18" s="71"/>
      <c r="BJ18" s="71"/>
      <c r="BK18" s="71"/>
    </row>
    <row r="19" spans="2:58" ht="24" customHeight="1" thickBot="1">
      <c r="B19" s="357"/>
      <c r="C19" s="203">
        <f>VLOOKUP("後"&amp;$B17&amp;E$31,'２部南対戦表'!$S$1:$V$89,4,FALSE)</f>
        <v>40448</v>
      </c>
      <c r="D19" s="204"/>
      <c r="E19" s="204"/>
      <c r="F19" s="204"/>
      <c r="G19" s="205"/>
      <c r="H19" s="203">
        <f>VLOOKUP("後"&amp;$B17&amp;J$31,'２部南対戦表'!$S$1:$V$89,4,FALSE)</f>
        <v>40441</v>
      </c>
      <c r="I19" s="204"/>
      <c r="J19" s="204"/>
      <c r="K19" s="204"/>
      <c r="L19" s="205"/>
      <c r="M19" s="203">
        <f>VLOOKUP("後"&amp;$B17&amp;O$31,'２部南対戦表'!$S$1:$V$89,4,FALSE)</f>
        <v>40427</v>
      </c>
      <c r="N19" s="204"/>
      <c r="O19" s="204"/>
      <c r="P19" s="204"/>
      <c r="Q19" s="205"/>
      <c r="R19" s="236"/>
      <c r="S19" s="237"/>
      <c r="T19" s="237"/>
      <c r="U19" s="237"/>
      <c r="V19" s="238"/>
      <c r="W19" s="203">
        <f>VLOOKUP("後"&amp;$B17&amp;Y$31,'２部南対戦表'!$S$1:$V$89,4,FALSE)</f>
        <v>40455</v>
      </c>
      <c r="X19" s="204"/>
      <c r="Y19" s="204"/>
      <c r="Z19" s="204"/>
      <c r="AA19" s="205"/>
      <c r="AB19" s="246">
        <f>VLOOKUP("後"&amp;$B17&amp;AD$31,'２部南対戦表'!$S$1:$V$89,4,FALSE)</f>
        <v>40463</v>
      </c>
      <c r="AC19" s="247"/>
      <c r="AD19" s="247"/>
      <c r="AE19" s="247"/>
      <c r="AF19" s="247"/>
      <c r="AG19" s="223"/>
      <c r="AH19" s="214"/>
      <c r="AI19" s="214"/>
      <c r="AJ19" s="375"/>
      <c r="AK19" s="261"/>
      <c r="AL19" s="261"/>
      <c r="AM19" s="258"/>
      <c r="AN19" s="227"/>
      <c r="AP19" s="264"/>
      <c r="AQ19" s="61"/>
      <c r="AR19" s="275"/>
      <c r="AS19" s="61"/>
      <c r="AT19" s="75" t="s">
        <v>96</v>
      </c>
      <c r="AU19" s="75" t="s">
        <v>97</v>
      </c>
      <c r="AV19" s="75" t="s">
        <v>98</v>
      </c>
      <c r="AW19" s="31"/>
      <c r="AX19" s="31" t="s">
        <v>104</v>
      </c>
      <c r="AY19" s="65">
        <f>IF(AND(AT18=0,AU18=0,AV18=0),0,+AJ17*1000+AM17+IF(AR18=$AT$4,100,0)+IF(AR18=$AV$4,-100,0))</f>
        <v>5989</v>
      </c>
      <c r="BA19" s="63">
        <f>IF(D20&lt;&gt;"",D20,0)</f>
        <v>0</v>
      </c>
      <c r="BB19" s="63">
        <f>IF(I20&lt;&gt;"",I20,0)</f>
        <v>0</v>
      </c>
      <c r="BC19" s="63">
        <f>IF(N20&lt;&gt;"",N20,0)</f>
        <v>0</v>
      </c>
      <c r="BD19" s="63">
        <f>IF(S20&lt;&gt;"",S20,0)</f>
        <v>0</v>
      </c>
      <c r="BE19" s="63">
        <f>IF(X20&lt;&gt;"",X20,0)</f>
        <v>0</v>
      </c>
      <c r="BF19" s="63">
        <f>IF(AC20&lt;&gt;"",AC20,0)</f>
        <v>0</v>
      </c>
    </row>
    <row r="20" spans="2:58" ht="24" customHeight="1">
      <c r="B20" s="437"/>
      <c r="C20" s="38" t="s">
        <v>84</v>
      </c>
      <c r="D20" s="39">
        <f>VLOOKUP("後"&amp;$B17&amp;E$31,'２部南対戦表'!$S$1:$V$89,2,FALSE)</f>
      </c>
      <c r="E20" s="39">
        <f>IF(D20&lt;&gt;"",IF(D20&gt;F20,"○",IF(D20&lt;F20,"●","△")),"")</f>
      </c>
      <c r="F20" s="39">
        <f>VLOOKUP("後"&amp;$B17&amp;E$31,'２部南対戦表'!$S$1:$V$89,3,FALSE)</f>
      </c>
      <c r="G20" s="40" t="s">
        <v>85</v>
      </c>
      <c r="H20" s="38" t="s">
        <v>84</v>
      </c>
      <c r="I20" s="39">
        <f>VLOOKUP("後"&amp;$B17&amp;J$31,'２部南対戦表'!$S$1:$V$89,2,FALSE)</f>
      </c>
      <c r="J20" s="39">
        <f>IF(I20&lt;&gt;"",IF(I20&gt;K20,"○",IF(I20&lt;K20,"●","△")),"")</f>
      </c>
      <c r="K20" s="39">
        <f>VLOOKUP("後"&amp;$B17&amp;J$31,'２部南対戦表'!$S$1:$V$89,3,FALSE)</f>
      </c>
      <c r="L20" s="40" t="s">
        <v>85</v>
      </c>
      <c r="M20" s="38" t="s">
        <v>84</v>
      </c>
      <c r="N20" s="39">
        <f>VLOOKUP("後"&amp;$B17&amp;O$31,'２部南対戦表'!$S$1:$V$89,2,FALSE)</f>
      </c>
      <c r="O20" s="39">
        <f>IF(N20&lt;&gt;"",IF(N20&gt;P20,"○",IF(N20&lt;P20,"●","△")),"")</f>
      </c>
      <c r="P20" s="39">
        <f>VLOOKUP("後"&amp;$B17&amp;O$31,'２部南対戦表'!$S$1:$V$89,3,FALSE)</f>
      </c>
      <c r="Q20" s="40" t="s">
        <v>85</v>
      </c>
      <c r="R20" s="239"/>
      <c r="S20" s="240"/>
      <c r="T20" s="240"/>
      <c r="U20" s="240"/>
      <c r="V20" s="241"/>
      <c r="W20" s="38" t="s">
        <v>84</v>
      </c>
      <c r="X20" s="39">
        <f>VLOOKUP("後"&amp;$B17&amp;Y$31,'２部南対戦表'!$S$1:$V$89,2,FALSE)</f>
      </c>
      <c r="Y20" s="39">
        <f>IF(X20&lt;&gt;"",IF(X20&gt;Z20,"○",IF(X20&lt;Z20,"●","△")),"")</f>
      </c>
      <c r="Z20" s="39">
        <f>VLOOKUP("後"&amp;$B17&amp;Y$31,'２部南対戦表'!$S$1:$V$89,3,FALSE)</f>
      </c>
      <c r="AA20" s="40" t="s">
        <v>85</v>
      </c>
      <c r="AB20" s="38" t="s">
        <v>84</v>
      </c>
      <c r="AC20" s="39">
        <f>VLOOKUP("後"&amp;$B17&amp;AD$31,'２部南対戦表'!$S$1:$V$89,2,FALSE)</f>
      </c>
      <c r="AD20" s="39">
        <f>IF(AC20&lt;&gt;"",IF(AC20&gt;AE20,"○",IF(AC20&lt;AE20,"●","△")),"")</f>
      </c>
      <c r="AE20" s="39">
        <f>VLOOKUP("後"&amp;$B17&amp;AD$31,'２部南対戦表'!$S$1:$V$89,3,FALSE)</f>
      </c>
      <c r="AF20" s="39" t="s">
        <v>85</v>
      </c>
      <c r="AG20" s="224"/>
      <c r="AH20" s="225"/>
      <c r="AI20" s="225"/>
      <c r="AJ20" s="378"/>
      <c r="AK20" s="262"/>
      <c r="AL20" s="262"/>
      <c r="AM20" s="259"/>
      <c r="AN20" s="228"/>
      <c r="AT20" s="75">
        <f>SUM(BA17:BF17)+SUM(BA19:BF19)</f>
        <v>20</v>
      </c>
      <c r="AU20" s="75">
        <f>SUM(BA18:BF18)+SUM(BA20:BF20)</f>
        <v>31</v>
      </c>
      <c r="AV20" s="57">
        <f>+AT20-AU20</f>
        <v>-11</v>
      </c>
      <c r="AW20" s="31"/>
      <c r="AX20" s="31"/>
      <c r="AY20" s="31"/>
      <c r="BA20" s="64">
        <f>IF(F20&lt;&gt;"",F20,0)</f>
        <v>0</v>
      </c>
      <c r="BB20" s="64">
        <f>IF(K20&lt;&gt;"",K20,0)</f>
        <v>0</v>
      </c>
      <c r="BC20" s="64">
        <f>IF(P20&lt;&gt;"",P20,0)</f>
        <v>0</v>
      </c>
      <c r="BD20" s="64">
        <f>IF(U20&lt;&gt;"",U20,0)</f>
        <v>0</v>
      </c>
      <c r="BE20" s="64">
        <f>IF(Z20&lt;&gt;"",Z20,0)</f>
        <v>0</v>
      </c>
      <c r="BF20" s="64">
        <f>IF(AE20&lt;&gt;"",AE20,0)</f>
        <v>0</v>
      </c>
    </row>
    <row r="21" spans="2:58" ht="24" customHeight="1" thickBot="1">
      <c r="B21" s="3" t="str">
        <f>+AN59</f>
        <v>南Ｂ</v>
      </c>
      <c r="C21" s="200">
        <f>VLOOKUP("前"&amp;$B21&amp;E$31,'２部南対戦表'!$S$1:$V$89,4,FALSE)</f>
        <v>40329</v>
      </c>
      <c r="D21" s="201"/>
      <c r="E21" s="201"/>
      <c r="F21" s="201"/>
      <c r="G21" s="202"/>
      <c r="H21" s="200">
        <f>VLOOKUP("前"&amp;$B21&amp;J$31,'２部南対戦表'!$S$1:$V$89,4,FALSE)</f>
        <v>40356</v>
      </c>
      <c r="I21" s="201"/>
      <c r="J21" s="201"/>
      <c r="K21" s="201"/>
      <c r="L21" s="202"/>
      <c r="M21" s="200">
        <f>VLOOKUP("前"&amp;$B21&amp;O$31,'２部南対戦表'!$S$1:$V$89,4,FALSE)</f>
        <v>40378</v>
      </c>
      <c r="N21" s="201"/>
      <c r="O21" s="201"/>
      <c r="P21" s="201"/>
      <c r="Q21" s="202"/>
      <c r="R21" s="200">
        <f>VLOOKUP("前"&amp;$B21&amp;T$31,'２部南対戦表'!$S$1:$V$89,4,FALSE)</f>
        <v>40371</v>
      </c>
      <c r="S21" s="201"/>
      <c r="T21" s="201"/>
      <c r="U21" s="201"/>
      <c r="V21" s="202"/>
      <c r="W21" s="233"/>
      <c r="X21" s="234"/>
      <c r="Y21" s="234"/>
      <c r="Z21" s="234"/>
      <c r="AA21" s="235"/>
      <c r="AB21" s="200">
        <f>VLOOKUP("前"&amp;$B21&amp;AD$31,'２部南対戦表'!$S$1:$V$89,4,FALSE)</f>
        <v>40315</v>
      </c>
      <c r="AC21" s="201"/>
      <c r="AD21" s="201"/>
      <c r="AE21" s="201"/>
      <c r="AF21" s="201"/>
      <c r="AG21" s="223">
        <f>IF(AND($AT22=0,$AU22=0,$AV22=0),"",AT22)</f>
        <v>1</v>
      </c>
      <c r="AH21" s="214">
        <f>IF(AND($AT22=0,$AU22=0,$AV22=0),"",AU22)</f>
        <v>0</v>
      </c>
      <c r="AI21" s="214">
        <f>IF(AND($AT22=0,$AU22=0,$AV22=0),"",AV22)</f>
        <v>4</v>
      </c>
      <c r="AJ21" s="377">
        <f>IF(AND($AT22=0,$AU22=0,$AV22=0),"",AW22+AP22)</f>
        <v>3</v>
      </c>
      <c r="AK21" s="212">
        <f>IF(AND($AT22=0,$AU22=0,$AV22=0),"",AT24)</f>
        <v>12</v>
      </c>
      <c r="AL21" s="212">
        <f>IF(AND($AT22=0,$AU22=0,$AV22=0),"",AU24)</f>
        <v>25</v>
      </c>
      <c r="AM21" s="213">
        <f>IF(AND($AT22=0,$AU22=0,$AV22=0),"",AV24)</f>
        <v>-13</v>
      </c>
      <c r="AN21" s="226">
        <f>IF(AND($AT22=0,$AU22=0,$AV22=0),"",RANK(AY23,AY$7:AY$27))</f>
        <v>5</v>
      </c>
      <c r="AT21" s="67" t="s">
        <v>92</v>
      </c>
      <c r="AU21" s="67" t="s">
        <v>93</v>
      </c>
      <c r="AV21" s="67" t="s">
        <v>94</v>
      </c>
      <c r="AW21" s="67" t="s">
        <v>95</v>
      </c>
      <c r="AX21" s="30"/>
      <c r="AY21" s="30"/>
      <c r="BA21" s="62">
        <f>IF(D22&lt;&gt;"",D22,0)</f>
        <v>3</v>
      </c>
      <c r="BB21" s="62">
        <f>IF(I22&lt;&gt;"",I22,0)</f>
        <v>2</v>
      </c>
      <c r="BC21" s="62">
        <f>IF(N22&lt;&gt;"",N22,0)</f>
        <v>0</v>
      </c>
      <c r="BD21" s="62">
        <f>IF(S22&lt;&gt;"",S22,0)</f>
        <v>4</v>
      </c>
      <c r="BE21" s="62">
        <f>IF(X22&lt;&gt;"",X22,0)</f>
        <v>0</v>
      </c>
      <c r="BF21" s="62">
        <f>IF(AC22&lt;&gt;"",AC22,0)</f>
        <v>3</v>
      </c>
    </row>
    <row r="22" spans="2:63" ht="24" customHeight="1">
      <c r="B22" s="357" t="str">
        <f>VLOOKUP(B21,'参加チーム'!$B$5:$G$73,IF($AG$3=1,4,5),FALSE)</f>
        <v>アトレチコ</v>
      </c>
      <c r="C22" s="41" t="s">
        <v>84</v>
      </c>
      <c r="D22" s="42">
        <f>VLOOKUP("前"&amp;$B21&amp;E$31,'２部南対戦表'!$S$1:$V$89,2,FALSE)</f>
        <v>3</v>
      </c>
      <c r="E22" s="42" t="str">
        <f>IF(D22&lt;&gt;"",IF(D22&gt;F22,"○",IF(D22&lt;F22,"●","△")),"-")</f>
        <v>●</v>
      </c>
      <c r="F22" s="42">
        <f>VLOOKUP("前"&amp;$B21&amp;E$31,'２部南対戦表'!$S$1:$V$89,3,FALSE)</f>
        <v>8</v>
      </c>
      <c r="G22" s="43" t="s">
        <v>85</v>
      </c>
      <c r="H22" s="41" t="s">
        <v>84</v>
      </c>
      <c r="I22" s="42">
        <f>VLOOKUP("前"&amp;$B21&amp;J$31,'２部南対戦表'!$S$1:$V$89,2,FALSE)</f>
        <v>2</v>
      </c>
      <c r="J22" s="42" t="str">
        <f>IF(I22&lt;&gt;"",IF(I22&gt;K22,"○",IF(I22&lt;K22,"●","△")),"-")</f>
        <v>●</v>
      </c>
      <c r="K22" s="42">
        <f>VLOOKUP("前"&amp;$B21&amp;J$31,'２部南対戦表'!$S$1:$V$89,3,FALSE)</f>
        <v>7</v>
      </c>
      <c r="L22" s="43" t="s">
        <v>85</v>
      </c>
      <c r="M22" s="41" t="s">
        <v>84</v>
      </c>
      <c r="N22" s="42">
        <f>VLOOKUP("前"&amp;$B21&amp;O$31,'２部南対戦表'!$S$1:$V$89,2,FALSE)</f>
        <v>0</v>
      </c>
      <c r="O22" s="42" t="str">
        <f>IF(N22&lt;&gt;"",IF(N22&gt;P22,"○",IF(N22&lt;P22,"●","△")),"-")</f>
        <v>●</v>
      </c>
      <c r="P22" s="42">
        <f>VLOOKUP("前"&amp;$B21&amp;O$31,'２部南対戦表'!$S$1:$V$89,3,FALSE)</f>
        <v>5</v>
      </c>
      <c r="Q22" s="43" t="s">
        <v>85</v>
      </c>
      <c r="R22" s="41" t="s">
        <v>84</v>
      </c>
      <c r="S22" s="42">
        <f>VLOOKUP("前"&amp;$B21&amp;T$31,'２部南対戦表'!$S$1:$V$89,2,FALSE)</f>
        <v>4</v>
      </c>
      <c r="T22" s="42" t="str">
        <f>IF(S22&lt;&gt;"",IF(S22&gt;U22,"○",IF(S22&lt;U22,"●","△")),"-")</f>
        <v>●</v>
      </c>
      <c r="U22" s="42">
        <f>VLOOKUP("前"&amp;$B21&amp;T$31,'２部南対戦表'!$S$1:$V$89,3,FALSE)</f>
        <v>5</v>
      </c>
      <c r="V22" s="43" t="s">
        <v>85</v>
      </c>
      <c r="W22" s="236"/>
      <c r="X22" s="237"/>
      <c r="Y22" s="237"/>
      <c r="Z22" s="237"/>
      <c r="AA22" s="238"/>
      <c r="AB22" s="41" t="s">
        <v>84</v>
      </c>
      <c r="AC22" s="42">
        <f>VLOOKUP("前"&amp;$B21&amp;AD$31,'２部南対戦表'!$S$1:$V$89,2,FALSE)</f>
        <v>3</v>
      </c>
      <c r="AD22" s="42" t="str">
        <f>IF(AC22&lt;&gt;"",IF(AC22&gt;AE22,"○",IF(AC22&lt;AE22,"●","△")),"-")</f>
        <v>○</v>
      </c>
      <c r="AE22" s="42">
        <f>VLOOKUP("前"&amp;$B21&amp;AD$31,'２部南対戦表'!$S$1:$V$89,3,FALSE)</f>
        <v>0</v>
      </c>
      <c r="AF22" s="42" t="s">
        <v>85</v>
      </c>
      <c r="AG22" s="223"/>
      <c r="AH22" s="214"/>
      <c r="AI22" s="214"/>
      <c r="AJ22" s="375"/>
      <c r="AK22" s="212"/>
      <c r="AL22" s="212"/>
      <c r="AM22" s="213"/>
      <c r="AN22" s="227"/>
      <c r="AP22" s="263"/>
      <c r="AQ22" s="61"/>
      <c r="AR22" s="274" t="s">
        <v>133</v>
      </c>
      <c r="AS22" s="61"/>
      <c r="AT22" s="32">
        <f>COUNTIF($C21:$AF24,"○")</f>
        <v>1</v>
      </c>
      <c r="AU22" s="32">
        <f>COUNTIF($C21:$AF24,"△")</f>
        <v>0</v>
      </c>
      <c r="AV22" s="32">
        <f>COUNTIF($C21:$AF24,"●")</f>
        <v>4</v>
      </c>
      <c r="AW22" s="67">
        <f>AT22*3+AU22</f>
        <v>3</v>
      </c>
      <c r="AX22" s="30"/>
      <c r="AY22" s="30"/>
      <c r="BA22" s="63">
        <f>IF(F22&lt;&gt;"",F22,0)</f>
        <v>8</v>
      </c>
      <c r="BB22" s="63">
        <f>IF(K22&lt;&gt;"",K22,0)</f>
        <v>7</v>
      </c>
      <c r="BC22" s="63">
        <f>IF(P22&lt;&gt;"",P22,0)</f>
        <v>5</v>
      </c>
      <c r="BD22" s="63">
        <f>IF(U22&lt;&gt;"",U22,0)</f>
        <v>5</v>
      </c>
      <c r="BE22" s="63">
        <f>IF(Z22&lt;&gt;"",Z22,0)</f>
        <v>0</v>
      </c>
      <c r="BF22" s="63">
        <f>IF(AE22&lt;&gt;"",AE22,0)</f>
        <v>0</v>
      </c>
      <c r="BI22" s="71"/>
      <c r="BJ22" s="71"/>
      <c r="BK22" s="71"/>
    </row>
    <row r="23" spans="2:58" ht="24" customHeight="1" thickBot="1">
      <c r="B23" s="357"/>
      <c r="C23" s="203">
        <f>VLOOKUP("後"&amp;$B21&amp;E$31,'２部南対戦表'!$S$1:$V$89,4,FALSE)</f>
        <v>40441</v>
      </c>
      <c r="D23" s="204"/>
      <c r="E23" s="204"/>
      <c r="F23" s="204"/>
      <c r="G23" s="205"/>
      <c r="H23" s="203">
        <f>VLOOKUP("後"&amp;$B21&amp;J$31,'２部南対戦表'!$S$1:$V$89,4,FALSE)</f>
        <v>40427</v>
      </c>
      <c r="I23" s="204"/>
      <c r="J23" s="204"/>
      <c r="K23" s="204"/>
      <c r="L23" s="205"/>
      <c r="M23" s="203">
        <f>VLOOKUP("後"&amp;$B21&amp;O$31,'２部南対戦表'!$S$1:$V$89,4,FALSE)</f>
        <v>40463</v>
      </c>
      <c r="N23" s="204"/>
      <c r="O23" s="204"/>
      <c r="P23" s="204"/>
      <c r="Q23" s="205"/>
      <c r="R23" s="203">
        <f>VLOOKUP("後"&amp;$B21&amp;T$31,'２部南対戦表'!$S$1:$V$89,4,FALSE)</f>
        <v>40455</v>
      </c>
      <c r="S23" s="204"/>
      <c r="T23" s="204"/>
      <c r="U23" s="204"/>
      <c r="V23" s="205"/>
      <c r="W23" s="236"/>
      <c r="X23" s="237"/>
      <c r="Y23" s="237"/>
      <c r="Z23" s="237"/>
      <c r="AA23" s="238"/>
      <c r="AB23" s="246">
        <f>VLOOKUP("後"&amp;$B21&amp;AD$31,'２部南対戦表'!$S$1:$V$89,4,FALSE)</f>
        <v>40448</v>
      </c>
      <c r="AC23" s="247"/>
      <c r="AD23" s="247"/>
      <c r="AE23" s="247"/>
      <c r="AF23" s="247"/>
      <c r="AG23" s="223"/>
      <c r="AH23" s="214"/>
      <c r="AI23" s="214"/>
      <c r="AJ23" s="375"/>
      <c r="AK23" s="212"/>
      <c r="AL23" s="212"/>
      <c r="AM23" s="213"/>
      <c r="AN23" s="227"/>
      <c r="AP23" s="264"/>
      <c r="AQ23" s="61"/>
      <c r="AR23" s="275"/>
      <c r="AS23" s="61"/>
      <c r="AT23" s="75" t="s">
        <v>96</v>
      </c>
      <c r="AU23" s="75" t="s">
        <v>97</v>
      </c>
      <c r="AV23" s="75" t="s">
        <v>98</v>
      </c>
      <c r="AW23" s="31"/>
      <c r="AX23" s="31" t="s">
        <v>104</v>
      </c>
      <c r="AY23" s="65">
        <f>IF(AND(AT22=0,AU22=0,AV22=0),0,+AJ21*1000+AM21+IF(AR22=$AT$4,100,0)+IF(AR22=$AV$4,-100,0))</f>
        <v>2987</v>
      </c>
      <c r="BA23" s="63">
        <f>IF(D24&lt;&gt;"",D24,0)</f>
        <v>0</v>
      </c>
      <c r="BB23" s="63">
        <f>IF(I24&lt;&gt;"",I24,0)</f>
        <v>0</v>
      </c>
      <c r="BC23" s="63">
        <f>IF(N24&lt;&gt;"",N24,0)</f>
        <v>0</v>
      </c>
      <c r="BD23" s="63">
        <f>IF(S24&lt;&gt;"",S24,0)</f>
        <v>0</v>
      </c>
      <c r="BE23" s="63">
        <f>IF(X24&lt;&gt;"",X24,0)</f>
        <v>0</v>
      </c>
      <c r="BF23" s="63">
        <f>IF(AC24&lt;&gt;"",AC24,0)</f>
        <v>0</v>
      </c>
    </row>
    <row r="24" spans="2:58" ht="24" customHeight="1">
      <c r="B24" s="437"/>
      <c r="C24" s="38" t="s">
        <v>84</v>
      </c>
      <c r="D24" s="39">
        <f>VLOOKUP("後"&amp;$B21&amp;E$31,'２部南対戦表'!$S$1:$V$89,2,FALSE)</f>
      </c>
      <c r="E24" s="39">
        <f>IF(D24&lt;&gt;"",IF(D24&gt;F24,"○",IF(D24&lt;F24,"●","△")),"")</f>
      </c>
      <c r="F24" s="39">
        <f>VLOOKUP("後"&amp;$B21&amp;E$31,'２部南対戦表'!$S$1:$V$89,3,FALSE)</f>
      </c>
      <c r="G24" s="40" t="s">
        <v>85</v>
      </c>
      <c r="H24" s="38" t="s">
        <v>84</v>
      </c>
      <c r="I24" s="39">
        <f>VLOOKUP("後"&amp;$B21&amp;J$31,'２部南対戦表'!$S$1:$V$89,2,FALSE)</f>
      </c>
      <c r="J24" s="39">
        <f>IF(I24&lt;&gt;"",IF(I24&gt;K24,"○",IF(I24&lt;K24,"●","△")),"")</f>
      </c>
      <c r="K24" s="39">
        <f>VLOOKUP("後"&amp;$B21&amp;J$31,'２部南対戦表'!$S$1:$V$89,3,FALSE)</f>
      </c>
      <c r="L24" s="40" t="s">
        <v>85</v>
      </c>
      <c r="M24" s="38" t="s">
        <v>84</v>
      </c>
      <c r="N24" s="39">
        <f>VLOOKUP("後"&amp;$B21&amp;O$31,'２部南対戦表'!$S$1:$V$89,2,FALSE)</f>
      </c>
      <c r="O24" s="39">
        <f>IF(N24&lt;&gt;"",IF(N24&gt;P24,"○",IF(N24&lt;P24,"●","△")),"")</f>
      </c>
      <c r="P24" s="39">
        <f>VLOOKUP("後"&amp;$B21&amp;O$31,'２部南対戦表'!$S$1:$V$89,3,FALSE)</f>
      </c>
      <c r="Q24" s="40" t="s">
        <v>85</v>
      </c>
      <c r="R24" s="38" t="s">
        <v>84</v>
      </c>
      <c r="S24" s="39">
        <f>VLOOKUP("後"&amp;$B21&amp;T$31,'２部南対戦表'!$S$1:$V$89,2,FALSE)</f>
      </c>
      <c r="T24" s="39">
        <f>IF(S24&lt;&gt;"",IF(S24&gt;U24,"○",IF(S24&lt;U24,"●","△")),"")</f>
      </c>
      <c r="U24" s="39">
        <f>VLOOKUP("後"&amp;$B21&amp;T$31,'２部南対戦表'!$S$1:$V$89,3,FALSE)</f>
      </c>
      <c r="V24" s="40" t="s">
        <v>85</v>
      </c>
      <c r="W24" s="239"/>
      <c r="X24" s="240"/>
      <c r="Y24" s="240"/>
      <c r="Z24" s="240"/>
      <c r="AA24" s="241"/>
      <c r="AB24" s="38" t="s">
        <v>84</v>
      </c>
      <c r="AC24" s="39">
        <f>VLOOKUP("後"&amp;$B21&amp;AD$31,'２部南対戦表'!$S$1:$V$89,2,FALSE)</f>
      </c>
      <c r="AD24" s="39">
        <f>IF(AC24&lt;&gt;"",IF(AC24&gt;AE24,"○",IF(AC24&lt;AE24,"●","△")),"")</f>
      </c>
      <c r="AE24" s="39">
        <f>VLOOKUP("後"&amp;$B21&amp;AD$31,'２部南対戦表'!$S$1:$V$89,3,FALSE)</f>
      </c>
      <c r="AF24" s="39" t="s">
        <v>85</v>
      </c>
      <c r="AG24" s="224"/>
      <c r="AH24" s="225"/>
      <c r="AI24" s="225"/>
      <c r="AJ24" s="378"/>
      <c r="AK24" s="212"/>
      <c r="AL24" s="212"/>
      <c r="AM24" s="213"/>
      <c r="AN24" s="228"/>
      <c r="AT24" s="75">
        <f>SUM(BA21:BF21)+SUM(BA23:BF23)</f>
        <v>12</v>
      </c>
      <c r="AU24" s="75">
        <f>SUM(BA22:BF22)+SUM(BA24:BF24)</f>
        <v>25</v>
      </c>
      <c r="AV24" s="57">
        <f>+AT24-AU24</f>
        <v>-13</v>
      </c>
      <c r="AW24" s="31"/>
      <c r="AX24" s="31"/>
      <c r="AY24" s="31"/>
      <c r="BA24" s="64">
        <f>IF(F24&lt;&gt;"",F24,0)</f>
        <v>0</v>
      </c>
      <c r="BB24" s="64">
        <f>IF(K24&lt;&gt;"",K24,0)</f>
        <v>0</v>
      </c>
      <c r="BC24" s="64">
        <f>IF(P24&lt;&gt;"",P24,0)</f>
        <v>0</v>
      </c>
      <c r="BD24" s="64">
        <f>IF(U24&lt;&gt;"",U24,0)</f>
        <v>0</v>
      </c>
      <c r="BE24" s="64">
        <f>IF(Z24&lt;&gt;"",Z24,0)</f>
        <v>0</v>
      </c>
      <c r="BF24" s="64">
        <f>IF(AE24&lt;&gt;"",AE24,0)</f>
        <v>0</v>
      </c>
    </row>
    <row r="25" spans="2:58" ht="24" customHeight="1" thickBot="1">
      <c r="B25" s="3" t="str">
        <f>+AN60</f>
        <v>南Ｅ</v>
      </c>
      <c r="C25" s="200">
        <f>VLOOKUP("前"&amp;$B25&amp;E$31,'２部南対戦表'!$S$1:$V$89,4,FALSE)</f>
        <v>40371</v>
      </c>
      <c r="D25" s="201"/>
      <c r="E25" s="201"/>
      <c r="F25" s="201"/>
      <c r="G25" s="202"/>
      <c r="H25" s="200">
        <f>VLOOKUP("前"&amp;$B25&amp;J$31,'２部南対戦表'!$S$1:$V$89,4,FALSE)</f>
        <v>40378</v>
      </c>
      <c r="I25" s="201"/>
      <c r="J25" s="201"/>
      <c r="K25" s="201"/>
      <c r="L25" s="202"/>
      <c r="M25" s="200">
        <f>VLOOKUP("前"&amp;$B25&amp;O$31,'２部南対戦表'!$S$1:$V$89,4,FALSE)</f>
        <v>40329</v>
      </c>
      <c r="N25" s="201"/>
      <c r="O25" s="201"/>
      <c r="P25" s="201"/>
      <c r="Q25" s="202"/>
      <c r="R25" s="200">
        <f>VLOOKUP("前"&amp;$B25&amp;T$31,'２部南対戦表'!$S$1:$V$89,4,FALSE)</f>
        <v>40356</v>
      </c>
      <c r="S25" s="201"/>
      <c r="T25" s="201"/>
      <c r="U25" s="201"/>
      <c r="V25" s="202"/>
      <c r="W25" s="200">
        <f>VLOOKUP("前"&amp;$B25&amp;Y$31,'２部南対戦表'!$S$1:$V$89,4,FALSE)</f>
        <v>40315</v>
      </c>
      <c r="X25" s="201"/>
      <c r="Y25" s="201"/>
      <c r="Z25" s="201"/>
      <c r="AA25" s="202"/>
      <c r="AB25" s="233"/>
      <c r="AC25" s="234"/>
      <c r="AD25" s="234"/>
      <c r="AE25" s="234"/>
      <c r="AF25" s="266"/>
      <c r="AG25" s="223">
        <f>IF(AND($AT26=0,$AU26=0,$AV26=0),"",AT26)</f>
        <v>0</v>
      </c>
      <c r="AH25" s="214">
        <f>IF(AND($AT26=0,$AU26=0,$AV26=0),"",AU26)</f>
        <v>1</v>
      </c>
      <c r="AI25" s="214">
        <f>IF(AND($AT26=0,$AU26=0,$AV26=0),"",AV26)</f>
        <v>4</v>
      </c>
      <c r="AJ25" s="377">
        <f>IF(AND($AT26=0,$AU26=0,$AV26=0),"",AW26+AP26)</f>
        <v>1</v>
      </c>
      <c r="AK25" s="212">
        <f>IF(AND($AT26=0,$AU26=0,$AV26=0),"",AT28)</f>
        <v>10</v>
      </c>
      <c r="AL25" s="212">
        <f>IF(AND($AT26=0,$AU26=0,$AV26=0),"",AU28)</f>
        <v>26</v>
      </c>
      <c r="AM25" s="213">
        <f>IF(AND($AT26=0,$AU26=0,$AV26=0),"",AV28)</f>
        <v>-16</v>
      </c>
      <c r="AN25" s="226">
        <f>IF(AND($AT26=0,$AU26=0,$AV26=0),"",RANK(AY27,AY$7:AY$27))</f>
        <v>6</v>
      </c>
      <c r="AT25" s="67" t="s">
        <v>92</v>
      </c>
      <c r="AU25" s="67" t="s">
        <v>93</v>
      </c>
      <c r="AV25" s="67" t="s">
        <v>94</v>
      </c>
      <c r="AW25" s="67" t="s">
        <v>95</v>
      </c>
      <c r="AX25" s="30"/>
      <c r="AY25" s="30"/>
      <c r="BA25" s="62">
        <f>IF(D26&lt;&gt;"",D26,0)</f>
        <v>2</v>
      </c>
      <c r="BB25" s="62">
        <f>IF(I26&lt;&gt;"",I26,0)</f>
        <v>4</v>
      </c>
      <c r="BC25" s="62">
        <f>IF(N26&lt;&gt;"",N26,0)</f>
        <v>1</v>
      </c>
      <c r="BD25" s="62">
        <f>IF(S26&lt;&gt;"",S26,0)</f>
        <v>3</v>
      </c>
      <c r="BE25" s="62">
        <f>IF(X26&lt;&gt;"",X26,0)</f>
        <v>0</v>
      </c>
      <c r="BF25" s="62">
        <f>IF(AC26&lt;&gt;"",AC26,0)</f>
        <v>0</v>
      </c>
    </row>
    <row r="26" spans="2:63" ht="24" customHeight="1">
      <c r="B26" s="357" t="str">
        <f>VLOOKUP(B25,'参加チーム'!$B$5:$G$73,IF($AG$3=1,4,5),FALSE)</f>
        <v>カメレオン</v>
      </c>
      <c r="C26" s="41" t="s">
        <v>84</v>
      </c>
      <c r="D26" s="42">
        <f>VLOOKUP("前"&amp;$B25&amp;E$31,'２部南対戦表'!$S$1:$V$89,2,FALSE)</f>
        <v>2</v>
      </c>
      <c r="E26" s="42" t="str">
        <f>IF(D26&lt;&gt;"",IF(D26&gt;F26,"○",IF(D26&lt;F26,"●","△")),"-")</f>
        <v>●</v>
      </c>
      <c r="F26" s="42">
        <f>VLOOKUP("前"&amp;$B25&amp;E$31,'２部南対戦表'!$S$1:$V$89,3,FALSE)</f>
        <v>9</v>
      </c>
      <c r="G26" s="43" t="s">
        <v>85</v>
      </c>
      <c r="H26" s="41" t="s">
        <v>84</v>
      </c>
      <c r="I26" s="42">
        <f>VLOOKUP("前"&amp;$B25&amp;J$31,'２部南対戦表'!$S$1:$V$89,2,FALSE)</f>
        <v>4</v>
      </c>
      <c r="J26" s="42" t="str">
        <f>IF(I26&lt;&gt;"",IF(I26&gt;K26,"○",IF(I26&lt;K26,"●","△")),"-")</f>
        <v>△</v>
      </c>
      <c r="K26" s="42">
        <f>VLOOKUP("前"&amp;$B25&amp;J$31,'２部南対戦表'!$S$1:$V$89,3,FALSE)</f>
        <v>4</v>
      </c>
      <c r="L26" s="43" t="s">
        <v>85</v>
      </c>
      <c r="M26" s="41" t="s">
        <v>84</v>
      </c>
      <c r="N26" s="42">
        <f>VLOOKUP("前"&amp;$B25&amp;O$31,'２部南対戦表'!$S$1:$V$89,2,FALSE)</f>
        <v>1</v>
      </c>
      <c r="O26" s="42" t="str">
        <f>IF(N26&lt;&gt;"",IF(N26&gt;P26,"○",IF(N26&lt;P26,"●","△")),"-")</f>
        <v>●</v>
      </c>
      <c r="P26" s="42">
        <f>VLOOKUP("前"&amp;$B25&amp;O$31,'２部南対戦表'!$S$1:$V$89,3,FALSE)</f>
        <v>4</v>
      </c>
      <c r="Q26" s="43" t="s">
        <v>85</v>
      </c>
      <c r="R26" s="41" t="s">
        <v>84</v>
      </c>
      <c r="S26" s="42">
        <f>VLOOKUP("前"&amp;$B25&amp;T$31,'２部南対戦表'!$S$1:$V$89,2,FALSE)</f>
        <v>3</v>
      </c>
      <c r="T26" s="42" t="str">
        <f>IF(S26&lt;&gt;"",IF(S26&gt;U26,"○",IF(S26&lt;U26,"●","△")),"-")</f>
        <v>●</v>
      </c>
      <c r="U26" s="42">
        <f>VLOOKUP("前"&amp;$B25&amp;T$31,'２部南対戦表'!$S$1:$V$89,3,FALSE)</f>
        <v>6</v>
      </c>
      <c r="V26" s="43" t="s">
        <v>85</v>
      </c>
      <c r="W26" s="41" t="s">
        <v>84</v>
      </c>
      <c r="X26" s="42">
        <f>VLOOKUP("前"&amp;$B25&amp;Y$31,'２部南対戦表'!$S$1:$V$89,2,FALSE)</f>
        <v>0</v>
      </c>
      <c r="Y26" s="42" t="str">
        <f>IF(X26&lt;&gt;"",IF(X26&gt;Z26,"○",IF(X26&lt;Z26,"●","△")),"-")</f>
        <v>●</v>
      </c>
      <c r="Z26" s="42">
        <f>VLOOKUP("前"&amp;$B25&amp;Y$31,'２部南対戦表'!$S$1:$V$89,3,FALSE)</f>
        <v>3</v>
      </c>
      <c r="AA26" s="43" t="s">
        <v>85</v>
      </c>
      <c r="AB26" s="236"/>
      <c r="AC26" s="237"/>
      <c r="AD26" s="237"/>
      <c r="AE26" s="237"/>
      <c r="AF26" s="267"/>
      <c r="AG26" s="223"/>
      <c r="AH26" s="214"/>
      <c r="AI26" s="214"/>
      <c r="AJ26" s="375"/>
      <c r="AK26" s="212"/>
      <c r="AL26" s="212"/>
      <c r="AM26" s="213"/>
      <c r="AN26" s="227"/>
      <c r="AP26" s="263"/>
      <c r="AQ26" s="61"/>
      <c r="AR26" s="274" t="s">
        <v>133</v>
      </c>
      <c r="AS26" s="61"/>
      <c r="AT26" s="32">
        <f>COUNTIF($C25:$AF28,"○")</f>
        <v>0</v>
      </c>
      <c r="AU26" s="32">
        <f>COUNTIF($C25:$AF28,"△")</f>
        <v>1</v>
      </c>
      <c r="AV26" s="32">
        <f>COUNTIF($C25:$AF28,"●")</f>
        <v>4</v>
      </c>
      <c r="AW26" s="67">
        <f>AT26*3+AU26</f>
        <v>1</v>
      </c>
      <c r="AX26" s="30"/>
      <c r="AY26" s="30"/>
      <c r="BA26" s="63">
        <f>IF(F26&lt;&gt;"",F26,0)</f>
        <v>9</v>
      </c>
      <c r="BB26" s="63">
        <f>IF(K26&lt;&gt;"",K26,0)</f>
        <v>4</v>
      </c>
      <c r="BC26" s="63">
        <f>IF(P26&lt;&gt;"",P26,0)</f>
        <v>4</v>
      </c>
      <c r="BD26" s="63">
        <f>IF(U26&lt;&gt;"",U26,0)</f>
        <v>6</v>
      </c>
      <c r="BE26" s="63">
        <f>IF(Z26&lt;&gt;"",Z26,0)</f>
        <v>3</v>
      </c>
      <c r="BF26" s="63">
        <f>IF(AE26&lt;&gt;"",AE26,0)</f>
        <v>0</v>
      </c>
      <c r="BI26" s="71"/>
      <c r="BJ26" s="71"/>
      <c r="BK26" s="71"/>
    </row>
    <row r="27" spans="2:58" ht="24" customHeight="1" thickBot="1">
      <c r="B27" s="357"/>
      <c r="C27" s="203">
        <f>VLOOKUP("後"&amp;$B25&amp;E$31,'２部南対戦表'!$S$1:$V$89,4,FALSE)</f>
        <v>40427</v>
      </c>
      <c r="D27" s="204"/>
      <c r="E27" s="204"/>
      <c r="F27" s="204"/>
      <c r="G27" s="205"/>
      <c r="H27" s="203">
        <f>VLOOKUP("後"&amp;$B25&amp;J$31,'２部南対戦表'!$S$1:$V$89,4,FALSE)</f>
        <v>40455</v>
      </c>
      <c r="I27" s="204"/>
      <c r="J27" s="204"/>
      <c r="K27" s="204"/>
      <c r="L27" s="205"/>
      <c r="M27" s="203">
        <f>VLOOKUP("後"&amp;$B25&amp;O$31,'２部南対戦表'!$S$1:$V$89,4,FALSE)</f>
        <v>40441</v>
      </c>
      <c r="N27" s="204"/>
      <c r="O27" s="204"/>
      <c r="P27" s="204"/>
      <c r="Q27" s="205"/>
      <c r="R27" s="203">
        <f>VLOOKUP("後"&amp;$B25&amp;T$31,'２部南対戦表'!$S$1:$V$89,4,FALSE)</f>
        <v>40463</v>
      </c>
      <c r="S27" s="204"/>
      <c r="T27" s="204"/>
      <c r="U27" s="204"/>
      <c r="V27" s="205"/>
      <c r="W27" s="203">
        <f>VLOOKUP("後"&amp;$B25&amp;Y$31,'２部南対戦表'!$S$1:$V$89,4,FALSE)</f>
        <v>40448</v>
      </c>
      <c r="X27" s="204"/>
      <c r="Y27" s="204"/>
      <c r="Z27" s="204"/>
      <c r="AA27" s="205"/>
      <c r="AB27" s="236"/>
      <c r="AC27" s="237"/>
      <c r="AD27" s="237"/>
      <c r="AE27" s="237"/>
      <c r="AF27" s="267"/>
      <c r="AG27" s="223"/>
      <c r="AH27" s="214"/>
      <c r="AI27" s="214"/>
      <c r="AJ27" s="375"/>
      <c r="AK27" s="212"/>
      <c r="AL27" s="212"/>
      <c r="AM27" s="213"/>
      <c r="AN27" s="227"/>
      <c r="AP27" s="264"/>
      <c r="AQ27" s="61"/>
      <c r="AR27" s="275"/>
      <c r="AS27" s="61"/>
      <c r="AT27" s="75" t="s">
        <v>96</v>
      </c>
      <c r="AU27" s="75" t="s">
        <v>97</v>
      </c>
      <c r="AV27" s="75" t="s">
        <v>98</v>
      </c>
      <c r="AW27" s="31"/>
      <c r="AX27" s="31" t="s">
        <v>104</v>
      </c>
      <c r="AY27" s="65">
        <f>IF(AND(AT26=0,AU26=0,AV26=0),0,+AJ25*1000+AM25+IF(AR26=$AT$4,100,0)+IF(AR26=$AV$4,-100,0))</f>
        <v>984</v>
      </c>
      <c r="BA27" s="63">
        <f>IF(D28&lt;&gt;"",D28,0)</f>
        <v>0</v>
      </c>
      <c r="BB27" s="63">
        <f>IF(I28&lt;&gt;"",I28,0)</f>
        <v>0</v>
      </c>
      <c r="BC27" s="63">
        <f>IF(N28&lt;&gt;"",N28,0)</f>
        <v>0</v>
      </c>
      <c r="BD27" s="63">
        <f>IF(S28&lt;&gt;"",S28,0)</f>
        <v>0</v>
      </c>
      <c r="BE27" s="63">
        <f>IF(X28&lt;&gt;"",X28,0)</f>
        <v>0</v>
      </c>
      <c r="BF27" s="63">
        <f>IF(AC28&lt;&gt;"",AC28,0)</f>
        <v>0</v>
      </c>
    </row>
    <row r="28" spans="2:58" ht="24" customHeight="1" thickBot="1">
      <c r="B28" s="358"/>
      <c r="C28" s="45" t="s">
        <v>84</v>
      </c>
      <c r="D28" s="46">
        <f>VLOOKUP("後"&amp;$B25&amp;E$31,'２部南対戦表'!$S$1:$V$89,2,FALSE)</f>
      </c>
      <c r="E28" s="46">
        <f>IF(D28&lt;&gt;"",IF(D28&gt;F28,"○",IF(D28&lt;F28,"●","△")),"")</f>
      </c>
      <c r="F28" s="46">
        <f>VLOOKUP("後"&amp;$B25&amp;E$31,'２部南対戦表'!$S$1:$V$89,3,FALSE)</f>
      </c>
      <c r="G28" s="47" t="s">
        <v>85</v>
      </c>
      <c r="H28" s="45" t="s">
        <v>84</v>
      </c>
      <c r="I28" s="46">
        <f>VLOOKUP("後"&amp;$B25&amp;J$31,'２部南対戦表'!$S$1:$V$89,2,FALSE)</f>
      </c>
      <c r="J28" s="46">
        <f>IF(I28&lt;&gt;"",IF(I28&gt;K28,"○",IF(I28&lt;K28,"●","△")),"")</f>
      </c>
      <c r="K28" s="46">
        <f>VLOOKUP("後"&amp;$B25&amp;J$31,'２部南対戦表'!$S$1:$V$89,3,FALSE)</f>
      </c>
      <c r="L28" s="47" t="s">
        <v>85</v>
      </c>
      <c r="M28" s="45" t="s">
        <v>84</v>
      </c>
      <c r="N28" s="46">
        <f>VLOOKUP("後"&amp;$B25&amp;O$31,'２部南対戦表'!$S$1:$V$89,2,FALSE)</f>
      </c>
      <c r="O28" s="46">
        <f>IF(N28&lt;&gt;"",IF(N28&gt;P28,"○",IF(N28&lt;P28,"●","△")),"")</f>
      </c>
      <c r="P28" s="46">
        <f>VLOOKUP("後"&amp;$B25&amp;O$31,'２部南対戦表'!$S$1:$V$89,3,FALSE)</f>
      </c>
      <c r="Q28" s="47" t="s">
        <v>85</v>
      </c>
      <c r="R28" s="45" t="s">
        <v>84</v>
      </c>
      <c r="S28" s="46">
        <f>VLOOKUP("後"&amp;$B25&amp;T$31,'２部南対戦表'!$S$1:$V$89,2,FALSE)</f>
      </c>
      <c r="T28" s="46">
        <f>IF(S28&lt;&gt;"",IF(S28&gt;U28,"○",IF(S28&lt;U28,"●","△")),"")</f>
      </c>
      <c r="U28" s="46">
        <f>VLOOKUP("後"&amp;$B25&amp;T$31,'２部南対戦表'!$S$1:$V$89,3,FALSE)</f>
      </c>
      <c r="V28" s="47" t="s">
        <v>85</v>
      </c>
      <c r="W28" s="45" t="s">
        <v>84</v>
      </c>
      <c r="X28" s="46">
        <f>VLOOKUP("後"&amp;$B25&amp;Y$31,'２部南対戦表'!$S$1:$V$89,2,FALSE)</f>
      </c>
      <c r="Y28" s="46">
        <f>IF(X28&lt;&gt;"",IF(X28&gt;Z28,"○",IF(X28&lt;Z28,"●","△")),"")</f>
      </c>
      <c r="Z28" s="46">
        <f>VLOOKUP("後"&amp;$B25&amp;Y$31,'２部南対戦表'!$S$1:$V$89,3,FALSE)</f>
      </c>
      <c r="AA28" s="47" t="s">
        <v>85</v>
      </c>
      <c r="AB28" s="268"/>
      <c r="AC28" s="269"/>
      <c r="AD28" s="269"/>
      <c r="AE28" s="269"/>
      <c r="AF28" s="270"/>
      <c r="AG28" s="273"/>
      <c r="AH28" s="215"/>
      <c r="AI28" s="215"/>
      <c r="AJ28" s="376"/>
      <c r="AK28" s="271"/>
      <c r="AL28" s="271"/>
      <c r="AM28" s="219"/>
      <c r="AN28" s="272"/>
      <c r="AT28" s="75">
        <f>SUM(BA25:BF25)+SUM(BA27:BF27)</f>
        <v>10</v>
      </c>
      <c r="AU28" s="75">
        <f>SUM(BA26:BF26)+SUM(BA28:BF28)</f>
        <v>26</v>
      </c>
      <c r="AV28" s="57">
        <f>+AT28-AU28</f>
        <v>-16</v>
      </c>
      <c r="AW28" s="31"/>
      <c r="AX28" s="31"/>
      <c r="AY28" s="31"/>
      <c r="BA28" s="64">
        <f>IF(F28&lt;&gt;"",F28,0)</f>
        <v>0</v>
      </c>
      <c r="BB28" s="64">
        <f>IF(K28&lt;&gt;"",K28,0)</f>
        <v>0</v>
      </c>
      <c r="BC28" s="64">
        <f>IF(P28&lt;&gt;"",P28,0)</f>
        <v>0</v>
      </c>
      <c r="BD28" s="64">
        <f>IF(U28&lt;&gt;"",U28,0)</f>
        <v>0</v>
      </c>
      <c r="BE28" s="64">
        <f>IF(Z28&lt;&gt;"",Z28,0)</f>
        <v>0</v>
      </c>
      <c r="BF28" s="64">
        <f>IF(AE28&lt;&gt;"",AE28,0)</f>
        <v>0</v>
      </c>
    </row>
    <row r="29" ht="30" customHeight="1">
      <c r="B29" s="87"/>
    </row>
    <row r="31" spans="2:40" ht="14.25">
      <c r="B31" s="11"/>
      <c r="C31" s="12"/>
      <c r="D31" s="12"/>
      <c r="E31" s="12" t="str">
        <f>+B5</f>
        <v>南Ｄ</v>
      </c>
      <c r="F31" s="12"/>
      <c r="G31" s="12"/>
      <c r="H31" s="12"/>
      <c r="I31" s="12"/>
      <c r="J31" s="12" t="str">
        <f>+B9</f>
        <v>南Ｃ</v>
      </c>
      <c r="K31" s="12"/>
      <c r="L31" s="12"/>
      <c r="M31" s="12"/>
      <c r="N31" s="12"/>
      <c r="O31" s="12" t="str">
        <f>+B13</f>
        <v>南Ａ</v>
      </c>
      <c r="P31" s="12"/>
      <c r="Q31" s="12"/>
      <c r="R31" s="12"/>
      <c r="S31" s="12"/>
      <c r="T31" s="12" t="str">
        <f>+B17</f>
        <v>南Ｆ</v>
      </c>
      <c r="U31" s="12"/>
      <c r="V31" s="12"/>
      <c r="W31" s="12"/>
      <c r="X31" s="12"/>
      <c r="Y31" s="12" t="str">
        <f>+B21</f>
        <v>南Ｂ</v>
      </c>
      <c r="Z31" s="12"/>
      <c r="AA31" s="12"/>
      <c r="AB31" s="12"/>
      <c r="AC31" s="12"/>
      <c r="AD31" s="12" t="str">
        <f>+B25</f>
        <v>南Ｅ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3"/>
    </row>
    <row r="33" spans="2:7" ht="17.25">
      <c r="B33" s="3" t="s">
        <v>22</v>
      </c>
      <c r="C33" s="200">
        <f>VLOOKUP("前"&amp;$B33&amp;E$31,'２部南対戦表'!$S$1:$V$89,4,FALSE)</f>
        <v>40378</v>
      </c>
      <c r="D33" s="201"/>
      <c r="E33" s="201"/>
      <c r="F33" s="201"/>
      <c r="G33" s="202"/>
    </row>
    <row r="34" spans="2:7" ht="17.25">
      <c r="B34" s="357" t="str">
        <f>VLOOKUP(B33,'参加チーム'!$B$5:$G$73,IF($AG$3=1,3,4),FALSE)</f>
        <v>Ｃｒａｑｕｅ天童</v>
      </c>
      <c r="C34" s="41" t="s">
        <v>84</v>
      </c>
      <c r="D34" s="42">
        <f>VLOOKUP("前"&amp;$B33&amp;E$31,'２部南対戦表'!$S$1:$V$89,2,FALSE)</f>
        <v>2</v>
      </c>
      <c r="E34" s="42" t="str">
        <f>IF(D34&lt;&gt;"",IF(D34&gt;F34,"○",IF(D34&lt;F34,"●","△")),"-")</f>
        <v>●</v>
      </c>
      <c r="F34" s="42">
        <f>VLOOKUP("前"&amp;$B33&amp;E$31,'２部南対戦表'!$S$1:$V$89,3,FALSE)</f>
        <v>9</v>
      </c>
      <c r="G34" s="43" t="s">
        <v>85</v>
      </c>
    </row>
    <row r="35" spans="2:7" ht="17.25">
      <c r="B35" s="357"/>
      <c r="C35" s="203">
        <f>VLOOKUP("後"&amp;$B33&amp;E$31,'２部南対戦表'!$S$1:$V$89,4,FALSE)</f>
        <v>40448</v>
      </c>
      <c r="D35" s="204"/>
      <c r="E35" s="204"/>
      <c r="F35" s="204"/>
      <c r="G35" s="205"/>
    </row>
    <row r="36" spans="2:7" ht="18" thickBot="1">
      <c r="B36" s="358"/>
      <c r="C36" s="45" t="s">
        <v>84</v>
      </c>
      <c r="D36" s="46">
        <f>VLOOKUP("後"&amp;$B33&amp;E$31,'２部南対戦表'!$S$1:$V$89,2,FALSE)</f>
      </c>
      <c r="E36" s="46">
        <f>IF(D36&lt;&gt;"",IF(D36&gt;F36,"○",IF(D36&lt;F36,"●","△")),"")</f>
      </c>
      <c r="F36" s="46">
        <f>VLOOKUP("後"&amp;$B33&amp;E$31,'２部南対戦表'!$S$1:$V$89,3,FALSE)</f>
      </c>
      <c r="G36" s="47" t="s">
        <v>85</v>
      </c>
    </row>
    <row r="37" spans="15:21" ht="14.25">
      <c r="O37" s="438"/>
      <c r="P37" s="438"/>
      <c r="Q37" s="438"/>
      <c r="R37" s="438"/>
      <c r="S37" s="438"/>
      <c r="T37" s="438"/>
      <c r="U37" s="438"/>
    </row>
    <row r="38" spans="15:21" ht="14.25">
      <c r="O38" s="103"/>
      <c r="P38" s="103"/>
      <c r="Q38" s="103"/>
      <c r="R38" s="103"/>
      <c r="S38" s="103"/>
      <c r="T38" s="103"/>
      <c r="U38" s="103"/>
    </row>
    <row r="39" spans="15:40" ht="14.25">
      <c r="O39" s="103"/>
      <c r="P39" s="103"/>
      <c r="Q39" s="103"/>
      <c r="R39" s="103"/>
      <c r="S39" s="103"/>
      <c r="T39" s="103"/>
      <c r="U39" s="103"/>
      <c r="AG39" s="206" t="s">
        <v>14</v>
      </c>
      <c r="AH39" s="207"/>
      <c r="AI39" s="207"/>
      <c r="AJ39" s="207"/>
      <c r="AK39" s="207"/>
      <c r="AL39" s="207"/>
      <c r="AM39" s="207"/>
      <c r="AN39" s="208"/>
    </row>
    <row r="40" spans="15:42" ht="14.25">
      <c r="O40" s="438"/>
      <c r="P40" s="438"/>
      <c r="Q40" s="438"/>
      <c r="R40" s="438"/>
      <c r="S40" s="438"/>
      <c r="T40" s="438"/>
      <c r="U40" s="438"/>
      <c r="AG40" s="209"/>
      <c r="AH40" s="210"/>
      <c r="AI40" s="210"/>
      <c r="AJ40" s="210"/>
      <c r="AK40" s="210"/>
      <c r="AL40" s="210"/>
      <c r="AM40" s="210"/>
      <c r="AN40" s="211"/>
      <c r="AP40" s="71" t="s">
        <v>109</v>
      </c>
    </row>
    <row r="41" spans="15:40" ht="14.25">
      <c r="O41" s="438"/>
      <c r="P41" s="438"/>
      <c r="Q41" s="438"/>
      <c r="R41" s="438"/>
      <c r="S41" s="438"/>
      <c r="T41" s="438"/>
      <c r="U41" s="438"/>
      <c r="AG41" s="57"/>
      <c r="AH41" s="83"/>
      <c r="AI41" s="83"/>
      <c r="AJ41" s="83"/>
      <c r="AK41" s="83"/>
      <c r="AL41" s="83"/>
      <c r="AM41" s="83"/>
      <c r="AN41" s="57"/>
    </row>
    <row r="42" spans="15:42" ht="14.25">
      <c r="O42" s="438"/>
      <c r="P42" s="438"/>
      <c r="Q42" s="438"/>
      <c r="R42" s="438"/>
      <c r="S42" s="438"/>
      <c r="T42" s="438"/>
      <c r="U42" s="438"/>
      <c r="AG42" s="71">
        <f>+AN5</f>
        <v>1</v>
      </c>
      <c r="AH42" s="70" t="str">
        <f>+B6</f>
        <v>ULTIMO</v>
      </c>
      <c r="AI42" s="70"/>
      <c r="AJ42" s="70"/>
      <c r="AK42" s="70"/>
      <c r="AL42" s="70"/>
      <c r="AM42" s="70"/>
      <c r="AN42" s="71" t="str">
        <f>+B5</f>
        <v>南Ｄ</v>
      </c>
      <c r="AP42" s="71">
        <f>+AP6</f>
        <v>0</v>
      </c>
    </row>
    <row r="43" spans="15:42" ht="14.25">
      <c r="O43" s="438"/>
      <c r="P43" s="438"/>
      <c r="Q43" s="438"/>
      <c r="R43" s="438"/>
      <c r="S43" s="438"/>
      <c r="T43" s="438"/>
      <c r="U43" s="438"/>
      <c r="AG43" s="71">
        <f>+AN9</f>
        <v>2</v>
      </c>
      <c r="AH43" s="70" t="str">
        <f>+B10</f>
        <v>azul</v>
      </c>
      <c r="AI43" s="70"/>
      <c r="AJ43" s="70"/>
      <c r="AK43" s="70"/>
      <c r="AL43" s="70"/>
      <c r="AM43" s="70"/>
      <c r="AN43" s="71" t="str">
        <f>+B9</f>
        <v>南Ｃ</v>
      </c>
      <c r="AP43" s="71">
        <f>+AP10</f>
        <v>0</v>
      </c>
    </row>
    <row r="44" spans="15:42" ht="14.25">
      <c r="O44" s="438"/>
      <c r="P44" s="438"/>
      <c r="Q44" s="438"/>
      <c r="R44" s="438"/>
      <c r="S44" s="438"/>
      <c r="T44" s="438"/>
      <c r="U44" s="438"/>
      <c r="AG44" s="71">
        <f>+AN13</f>
        <v>3</v>
      </c>
      <c r="AH44" s="70" t="str">
        <f>+B14</f>
        <v>Zoorasia</v>
      </c>
      <c r="AI44" s="70"/>
      <c r="AJ44" s="70"/>
      <c r="AK44" s="70"/>
      <c r="AL44" s="70"/>
      <c r="AM44" s="70"/>
      <c r="AN44" s="71" t="str">
        <f>+B13</f>
        <v>南Ａ</v>
      </c>
      <c r="AP44" s="71">
        <f>+AP14</f>
        <v>0</v>
      </c>
    </row>
    <row r="45" spans="33:42" ht="14.25">
      <c r="AG45" s="71">
        <f>+AN17</f>
        <v>4</v>
      </c>
      <c r="AH45" s="70" t="str">
        <f>+B18</f>
        <v>Craque</v>
      </c>
      <c r="AI45" s="70"/>
      <c r="AJ45" s="70"/>
      <c r="AK45" s="70"/>
      <c r="AL45" s="70"/>
      <c r="AM45" s="70"/>
      <c r="AN45" s="71" t="str">
        <f>+B17</f>
        <v>南Ｆ</v>
      </c>
      <c r="AP45" s="71">
        <f>+AP18</f>
        <v>0</v>
      </c>
    </row>
    <row r="46" spans="33:42" ht="14.25">
      <c r="AG46" s="71">
        <f>+AN21</f>
        <v>5</v>
      </c>
      <c r="AH46" s="70" t="str">
        <f>+B22</f>
        <v>アトレチコ</v>
      </c>
      <c r="AI46" s="70"/>
      <c r="AJ46" s="70"/>
      <c r="AK46" s="70"/>
      <c r="AL46" s="70"/>
      <c r="AM46" s="70"/>
      <c r="AN46" s="71" t="str">
        <f>+B21</f>
        <v>南Ｂ</v>
      </c>
      <c r="AP46" s="71">
        <f>+AP22</f>
        <v>0</v>
      </c>
    </row>
    <row r="47" spans="33:42" ht="14.25">
      <c r="AG47" s="71">
        <f>+AN25</f>
        <v>6</v>
      </c>
      <c r="AH47" s="70" t="str">
        <f>+B26</f>
        <v>カメレオン</v>
      </c>
      <c r="AI47" s="70"/>
      <c r="AJ47" s="70"/>
      <c r="AK47" s="70"/>
      <c r="AL47" s="70"/>
      <c r="AM47" s="70"/>
      <c r="AN47" s="71" t="str">
        <f>+B25</f>
        <v>南Ｅ</v>
      </c>
      <c r="AP47" s="71">
        <f>+AP26</f>
        <v>0</v>
      </c>
    </row>
    <row r="48" spans="33:42" ht="14.25">
      <c r="AG48" s="71"/>
      <c r="AH48" s="70"/>
      <c r="AI48" s="70"/>
      <c r="AJ48" s="70"/>
      <c r="AK48" s="70"/>
      <c r="AL48" s="70"/>
      <c r="AM48" s="70"/>
      <c r="AN48" s="71"/>
      <c r="AP48" s="71"/>
    </row>
    <row r="49" spans="33:42" ht="14.25">
      <c r="AG49" s="71"/>
      <c r="AH49" s="70"/>
      <c r="AI49" s="70"/>
      <c r="AJ49" s="70"/>
      <c r="AK49" s="70"/>
      <c r="AL49" s="70"/>
      <c r="AM49" s="70"/>
      <c r="AN49" s="71"/>
      <c r="AP49" s="71"/>
    </row>
    <row r="51" spans="33:40" ht="14.25" customHeight="1">
      <c r="AG51" s="383" t="s">
        <v>1</v>
      </c>
      <c r="AH51" s="384"/>
      <c r="AI51" s="384"/>
      <c r="AJ51" s="384"/>
      <c r="AK51" s="384"/>
      <c r="AL51" s="384"/>
      <c r="AM51" s="384"/>
      <c r="AN51" s="385"/>
    </row>
    <row r="52" spans="33:40" ht="14.25">
      <c r="AG52" s="386"/>
      <c r="AH52" s="387"/>
      <c r="AI52" s="387"/>
      <c r="AJ52" s="387"/>
      <c r="AK52" s="387"/>
      <c r="AL52" s="387"/>
      <c r="AM52" s="387"/>
      <c r="AN52" s="388"/>
    </row>
    <row r="53" spans="33:42" ht="14.25">
      <c r="AG53" s="389"/>
      <c r="AH53" s="390"/>
      <c r="AI53" s="390"/>
      <c r="AJ53" s="390"/>
      <c r="AK53" s="390"/>
      <c r="AL53" s="390"/>
      <c r="AM53" s="390"/>
      <c r="AN53" s="391"/>
      <c r="AP53" s="71" t="s">
        <v>109</v>
      </c>
    </row>
    <row r="55" spans="33:42" ht="14.25">
      <c r="AG55" s="73">
        <v>1</v>
      </c>
      <c r="AH55" s="72" t="s">
        <v>249</v>
      </c>
      <c r="AI55" s="72"/>
      <c r="AJ55" s="72"/>
      <c r="AK55" s="72"/>
      <c r="AL55" s="72"/>
      <c r="AM55" s="72"/>
      <c r="AN55" s="73" t="s">
        <v>4</v>
      </c>
      <c r="AP55" s="71"/>
    </row>
    <row r="56" spans="33:42" ht="14.25">
      <c r="AG56" s="73">
        <v>2</v>
      </c>
      <c r="AH56" s="72" t="s">
        <v>158</v>
      </c>
      <c r="AI56" s="72"/>
      <c r="AJ56" s="72"/>
      <c r="AK56" s="72"/>
      <c r="AL56" s="72"/>
      <c r="AM56" s="72"/>
      <c r="AN56" s="73" t="s">
        <v>3</v>
      </c>
      <c r="AP56" s="71"/>
    </row>
    <row r="57" spans="33:42" ht="14.25">
      <c r="AG57" s="73">
        <v>3</v>
      </c>
      <c r="AH57" s="72" t="s">
        <v>146</v>
      </c>
      <c r="AI57" s="72"/>
      <c r="AJ57" s="72"/>
      <c r="AK57" s="72"/>
      <c r="AL57" s="72"/>
      <c r="AM57" s="72"/>
      <c r="AN57" s="73" t="s">
        <v>49</v>
      </c>
      <c r="AP57" s="71"/>
    </row>
    <row r="58" spans="33:42" ht="14.25">
      <c r="AG58" s="73">
        <v>4</v>
      </c>
      <c r="AH58" s="72" t="s">
        <v>267</v>
      </c>
      <c r="AI58" s="72"/>
      <c r="AJ58" s="72"/>
      <c r="AK58" s="72"/>
      <c r="AL58" s="72"/>
      <c r="AM58" s="72"/>
      <c r="AN58" s="73" t="s">
        <v>7</v>
      </c>
      <c r="AP58" s="71"/>
    </row>
    <row r="59" spans="33:42" ht="14.25">
      <c r="AG59" s="73">
        <v>5</v>
      </c>
      <c r="AH59" s="72" t="s">
        <v>148</v>
      </c>
      <c r="AI59" s="72"/>
      <c r="AJ59" s="72"/>
      <c r="AK59" s="72"/>
      <c r="AL59" s="72"/>
      <c r="AM59" s="72"/>
      <c r="AN59" s="73" t="s">
        <v>2</v>
      </c>
      <c r="AP59" s="71"/>
    </row>
    <row r="60" spans="33:42" ht="14.25">
      <c r="AG60" s="73">
        <v>6</v>
      </c>
      <c r="AH60" s="72" t="s">
        <v>147</v>
      </c>
      <c r="AI60" s="72"/>
      <c r="AJ60" s="72"/>
      <c r="AK60" s="72"/>
      <c r="AL60" s="72"/>
      <c r="AM60" s="72"/>
      <c r="AN60" s="73" t="s">
        <v>6</v>
      </c>
      <c r="AP60" s="71"/>
    </row>
    <row r="61" spans="33:42" ht="14.25">
      <c r="AG61" s="73"/>
      <c r="AH61" s="72"/>
      <c r="AI61" s="72"/>
      <c r="AJ61" s="72"/>
      <c r="AK61" s="72"/>
      <c r="AL61" s="72"/>
      <c r="AM61" s="72"/>
      <c r="AN61" s="73"/>
      <c r="AP61" s="71"/>
    </row>
    <row r="62" spans="33:42" ht="14.25">
      <c r="AG62" s="73"/>
      <c r="AH62" s="72"/>
      <c r="AI62" s="72"/>
      <c r="AJ62" s="72"/>
      <c r="AK62" s="72"/>
      <c r="AL62" s="72"/>
      <c r="AM62" s="72"/>
      <c r="AN62" s="73"/>
      <c r="AP62" s="71"/>
    </row>
  </sheetData>
  <sheetProtection sheet="1" objects="1" scenarios="1"/>
  <mergeCells count="155">
    <mergeCell ref="H27:L27"/>
    <mergeCell ref="H25:L25"/>
    <mergeCell ref="R23:V23"/>
    <mergeCell ref="R21:V21"/>
    <mergeCell ref="M21:Q21"/>
    <mergeCell ref="R25:V25"/>
    <mergeCell ref="H23:L23"/>
    <mergeCell ref="Q43:U43"/>
    <mergeCell ref="O44:P44"/>
    <mergeCell ref="C33:G33"/>
    <mergeCell ref="B34:B36"/>
    <mergeCell ref="AG51:AN53"/>
    <mergeCell ref="AG39:AN40"/>
    <mergeCell ref="C35:G35"/>
    <mergeCell ref="B10:B12"/>
    <mergeCell ref="Q44:U44"/>
    <mergeCell ref="O41:P41"/>
    <mergeCell ref="Q41:U41"/>
    <mergeCell ref="O42:P42"/>
    <mergeCell ref="Q42:U42"/>
    <mergeCell ref="O43:P43"/>
    <mergeCell ref="AB9:AF9"/>
    <mergeCell ref="AG13:AG16"/>
    <mergeCell ref="AB15:AF15"/>
    <mergeCell ref="AB11:AF11"/>
    <mergeCell ref="AI5:AI8"/>
    <mergeCell ref="AH5:AH8"/>
    <mergeCell ref="AH13:AH16"/>
    <mergeCell ref="AG17:AG20"/>
    <mergeCell ref="AG5:AG8"/>
    <mergeCell ref="AG9:AG12"/>
    <mergeCell ref="AH9:AH12"/>
    <mergeCell ref="AH17:AH20"/>
    <mergeCell ref="AI9:AI12"/>
    <mergeCell ref="W15:AA15"/>
    <mergeCell ref="W9:AA9"/>
    <mergeCell ref="M9:Q9"/>
    <mergeCell ref="M13:Q16"/>
    <mergeCell ref="W11:AA11"/>
    <mergeCell ref="W13:AA13"/>
    <mergeCell ref="R5:V5"/>
    <mergeCell ref="R9:V9"/>
    <mergeCell ref="W7:AA7"/>
    <mergeCell ref="M4:Q4"/>
    <mergeCell ref="M7:Q7"/>
    <mergeCell ref="M5:Q5"/>
    <mergeCell ref="W4:AA4"/>
    <mergeCell ref="W5:AA5"/>
    <mergeCell ref="R15:V15"/>
    <mergeCell ref="R11:V11"/>
    <mergeCell ref="M11:Q11"/>
    <mergeCell ref="B6:B8"/>
    <mergeCell ref="B14:B16"/>
    <mergeCell ref="H13:L13"/>
    <mergeCell ref="R13:V13"/>
    <mergeCell ref="C15:G15"/>
    <mergeCell ref="H15:L15"/>
    <mergeCell ref="AB13:AF13"/>
    <mergeCell ref="O40:P40"/>
    <mergeCell ref="Q40:U40"/>
    <mergeCell ref="W21:AA24"/>
    <mergeCell ref="Q37:U37"/>
    <mergeCell ref="O37:P37"/>
    <mergeCell ref="W27:AA27"/>
    <mergeCell ref="R27:V27"/>
    <mergeCell ref="C11:G11"/>
    <mergeCell ref="H9:L12"/>
    <mergeCell ref="C9:G9"/>
    <mergeCell ref="C13:G13"/>
    <mergeCell ref="AB4:AF4"/>
    <mergeCell ref="C5:G8"/>
    <mergeCell ref="AB5:AF5"/>
    <mergeCell ref="AB7:AF7"/>
    <mergeCell ref="H5:L5"/>
    <mergeCell ref="H7:L7"/>
    <mergeCell ref="R4:V4"/>
    <mergeCell ref="R7:V7"/>
    <mergeCell ref="C4:G4"/>
    <mergeCell ref="H4:L4"/>
    <mergeCell ref="M23:Q23"/>
    <mergeCell ref="AB23:AF23"/>
    <mergeCell ref="W25:AA25"/>
    <mergeCell ref="C17:G17"/>
    <mergeCell ref="C23:G23"/>
    <mergeCell ref="W17:AA17"/>
    <mergeCell ref="AB19:AF19"/>
    <mergeCell ref="W19:AA19"/>
    <mergeCell ref="AB21:AF21"/>
    <mergeCell ref="AB25:AF28"/>
    <mergeCell ref="H19:L19"/>
    <mergeCell ref="R17:V20"/>
    <mergeCell ref="M17:Q17"/>
    <mergeCell ref="M19:Q19"/>
    <mergeCell ref="H17:L17"/>
    <mergeCell ref="AB17:AF17"/>
    <mergeCell ref="H21:L21"/>
    <mergeCell ref="AI13:AI16"/>
    <mergeCell ref="AH25:AH28"/>
    <mergeCell ref="AH21:AH24"/>
    <mergeCell ref="AG21:AG24"/>
    <mergeCell ref="AG25:AG28"/>
    <mergeCell ref="M27:Q27"/>
    <mergeCell ref="M25:Q25"/>
    <mergeCell ref="AI25:AI28"/>
    <mergeCell ref="B26:B28"/>
    <mergeCell ref="B18:B20"/>
    <mergeCell ref="C27:G27"/>
    <mergeCell ref="C25:G25"/>
    <mergeCell ref="B22:B24"/>
    <mergeCell ref="C19:G19"/>
    <mergeCell ref="C21:G21"/>
    <mergeCell ref="AJ9:AJ12"/>
    <mergeCell ref="AJ5:AJ8"/>
    <mergeCell ref="AJ13:AJ16"/>
    <mergeCell ref="AK9:AK12"/>
    <mergeCell ref="AK5:AK8"/>
    <mergeCell ref="AK13:AK16"/>
    <mergeCell ref="AL5:AL8"/>
    <mergeCell ref="AM17:AM20"/>
    <mergeCell ref="AN17:AN20"/>
    <mergeCell ref="AM9:AM12"/>
    <mergeCell ref="AL17:AL20"/>
    <mergeCell ref="AL13:AL16"/>
    <mergeCell ref="AL9:AL12"/>
    <mergeCell ref="AP18:AP19"/>
    <mergeCell ref="AJ25:AJ28"/>
    <mergeCell ref="AI17:AI20"/>
    <mergeCell ref="AI21:AI24"/>
    <mergeCell ref="AJ21:AJ24"/>
    <mergeCell ref="AJ17:AJ20"/>
    <mergeCell ref="AK17:AK20"/>
    <mergeCell ref="AK25:AK28"/>
    <mergeCell ref="AK21:AK24"/>
    <mergeCell ref="AM5:AM8"/>
    <mergeCell ref="AM13:AM16"/>
    <mergeCell ref="AP6:AP7"/>
    <mergeCell ref="AP10:AP11"/>
    <mergeCell ref="AP14:AP15"/>
    <mergeCell ref="AN13:AN16"/>
    <mergeCell ref="AN9:AN12"/>
    <mergeCell ref="AL25:AL28"/>
    <mergeCell ref="AM25:AM28"/>
    <mergeCell ref="AP22:AP23"/>
    <mergeCell ref="AR6:AR7"/>
    <mergeCell ref="AR10:AR11"/>
    <mergeCell ref="AR14:AR15"/>
    <mergeCell ref="AR18:AR19"/>
    <mergeCell ref="AL21:AL24"/>
    <mergeCell ref="AM21:AM24"/>
    <mergeCell ref="AN5:AN8"/>
    <mergeCell ref="AR22:AR23"/>
    <mergeCell ref="AR26:AR27"/>
    <mergeCell ref="AP26:AP27"/>
    <mergeCell ref="AN25:AN28"/>
    <mergeCell ref="AN21:AN24"/>
  </mergeCells>
  <conditionalFormatting sqref="AR6:AR7">
    <cfRule type="expression" priority="13" dxfId="0" stopIfTrue="1">
      <formula>$BB6=$BF$4</formula>
    </cfRule>
    <cfRule type="expression" priority="14" dxfId="0" stopIfTrue="1">
      <formula>$BB6=$BD$4</formula>
    </cfRule>
  </conditionalFormatting>
  <conditionalFormatting sqref="AR14:AR15">
    <cfRule type="expression" priority="9" dxfId="0" stopIfTrue="1">
      <formula>$BB14=$BF$4</formula>
    </cfRule>
    <cfRule type="expression" priority="10" dxfId="0" stopIfTrue="1">
      <formula>$BB14=$BD$4</formula>
    </cfRule>
  </conditionalFormatting>
  <conditionalFormatting sqref="AR18:AR19">
    <cfRule type="expression" priority="7" dxfId="0" stopIfTrue="1">
      <formula>$BB18=$BF$4</formula>
    </cfRule>
    <cfRule type="expression" priority="8" dxfId="0" stopIfTrue="1">
      <formula>$BB18=$BD$4</formula>
    </cfRule>
  </conditionalFormatting>
  <conditionalFormatting sqref="AR22:AR23">
    <cfRule type="expression" priority="5" dxfId="0" stopIfTrue="1">
      <formula>$BB22=$BF$4</formula>
    </cfRule>
    <cfRule type="expression" priority="6" dxfId="0" stopIfTrue="1">
      <formula>$BB22=$BD$4</formula>
    </cfRule>
  </conditionalFormatting>
  <conditionalFormatting sqref="AR26:AR27">
    <cfRule type="expression" priority="3" dxfId="0" stopIfTrue="1">
      <formula>$BB26=$BF$4</formula>
    </cfRule>
    <cfRule type="expression" priority="4" dxfId="0" stopIfTrue="1">
      <formula>$BB26=$BD$4</formula>
    </cfRule>
  </conditionalFormatting>
  <conditionalFormatting sqref="AR10:AR11">
    <cfRule type="expression" priority="1" dxfId="0" stopIfTrue="1">
      <formula>$BB10=$BF$4</formula>
    </cfRule>
    <cfRule type="expression" priority="2" dxfId="0" stopIfTrue="1">
      <formula>$BB10=$BD$4</formula>
    </cfRule>
  </conditionalFormatting>
  <dataValidations count="1">
    <dataValidation type="list" allowBlank="1" showInputMessage="1" showErrorMessage="1" sqref="AR6:AR7 AR26:AR27 AR14:AR15 AR18:AR19 AR22:AR23 AR10:AR11">
      <formula1>"　,○,●"</formula1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H120"/>
  <sheetViews>
    <sheetView view="pageBreakPreview" zoomScale="70" zoomScaleNormal="85" zoomScaleSheetLayoutView="70" zoomScalePageLayoutView="0" workbookViewId="0" topLeftCell="A33">
      <selection activeCell="AI35" sqref="AI35"/>
    </sheetView>
  </sheetViews>
  <sheetFormatPr defaultColWidth="8.796875" defaultRowHeight="15"/>
  <cols>
    <col min="1" max="1" width="9" style="14" customWidth="1"/>
    <col min="2" max="2" width="9.5" style="14" bestFit="1" customWidth="1"/>
    <col min="3" max="3" width="13.59765625" style="14" customWidth="1"/>
    <col min="4" max="4" width="4.59765625" style="14" customWidth="1"/>
    <col min="5" max="6" width="6.59765625" style="14" customWidth="1"/>
    <col min="7" max="7" width="4.69921875" style="14" customWidth="1"/>
    <col min="8" max="8" width="14.59765625" style="14" customWidth="1"/>
    <col min="9" max="13" width="3.59765625" style="14" customWidth="1"/>
    <col min="14" max="14" width="4.69921875" style="14" customWidth="1"/>
    <col min="15" max="15" width="14.59765625" style="14" customWidth="1"/>
    <col min="16" max="16" width="12.59765625" style="14" customWidth="1"/>
    <col min="17" max="17" width="11.59765625" style="14" customWidth="1"/>
    <col min="18" max="18" width="3.8984375" style="14" customWidth="1"/>
    <col min="19" max="19" width="11.19921875" style="14" hidden="1" customWidth="1"/>
    <col min="20" max="21" width="5.19921875" style="14" hidden="1" customWidth="1"/>
    <col min="22" max="22" width="9.5" style="14" hidden="1" customWidth="1"/>
    <col min="23" max="23" width="2.59765625" style="14" hidden="1" customWidth="1"/>
    <col min="24" max="24" width="6.59765625" style="14" hidden="1" customWidth="1"/>
    <col min="25" max="25" width="3.69921875" style="14" hidden="1" customWidth="1"/>
    <col min="26" max="26" width="9" style="14" hidden="1" customWidth="1"/>
    <col min="27" max="27" width="3.69921875" style="14" hidden="1" customWidth="1"/>
    <col min="28" max="28" width="11.69921875" style="14" hidden="1" customWidth="1"/>
    <col min="29" max="29" width="20.59765625" style="14" hidden="1" customWidth="1"/>
    <col min="30" max="33" width="4.59765625" style="14" hidden="1" customWidth="1"/>
    <col min="34" max="34" width="13.3984375" style="14" hidden="1" customWidth="1"/>
    <col min="35" max="16384" width="9" style="14" customWidth="1"/>
  </cols>
  <sheetData>
    <row r="1" spans="1:20" ht="28.5" customHeight="1">
      <c r="A1" s="95" t="s">
        <v>169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S1" s="15" t="s">
        <v>88</v>
      </c>
      <c r="T1" s="16"/>
    </row>
    <row r="2" spans="1:23" ht="28.5" customHeight="1" thickBot="1">
      <c r="A2" s="89" t="s">
        <v>99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77">
        <f>+'１部'!$AQ$3</f>
        <v>1</v>
      </c>
      <c r="O2" s="78" t="str">
        <f>IF(N2=1,"略称表示","日本語略称表示")&amp;"（１部成績表からリンク）"</f>
        <v>略称表示（１部成績表からリンク）</v>
      </c>
      <c r="P2" s="94"/>
      <c r="Q2" s="94"/>
      <c r="S2" s="15"/>
      <c r="T2" s="16"/>
      <c r="W2" s="14">
        <v>0.041666666666666664</v>
      </c>
    </row>
    <row r="3" spans="1:28" ht="25.5" customHeight="1" thickBot="1">
      <c r="A3" s="93"/>
      <c r="B3" s="26" t="s">
        <v>52</v>
      </c>
      <c r="C3" s="26" t="s">
        <v>53</v>
      </c>
      <c r="D3" s="26" t="s">
        <v>101</v>
      </c>
      <c r="E3" s="26" t="s">
        <v>310</v>
      </c>
      <c r="F3" s="26" t="s">
        <v>54</v>
      </c>
      <c r="G3" s="27"/>
      <c r="H3" s="28" t="s">
        <v>102</v>
      </c>
      <c r="I3" s="299" t="s">
        <v>55</v>
      </c>
      <c r="J3" s="299"/>
      <c r="K3" s="299"/>
      <c r="L3" s="299"/>
      <c r="M3" s="299"/>
      <c r="N3" s="27"/>
      <c r="O3" s="28" t="s">
        <v>103</v>
      </c>
      <c r="P3" s="26" t="s">
        <v>118</v>
      </c>
      <c r="Q3" s="29" t="s">
        <v>51</v>
      </c>
      <c r="S3" s="16"/>
      <c r="T3" s="16"/>
      <c r="W3" s="14">
        <v>0.0625</v>
      </c>
      <c r="X3" s="14" t="s">
        <v>162</v>
      </c>
      <c r="AB3" s="14" t="s">
        <v>162</v>
      </c>
    </row>
    <row r="4" spans="1:34" ht="14.25" customHeight="1">
      <c r="A4" s="288">
        <v>1</v>
      </c>
      <c r="B4" s="398">
        <v>40315</v>
      </c>
      <c r="C4" s="404" t="s">
        <v>87</v>
      </c>
      <c r="D4" s="308">
        <v>1</v>
      </c>
      <c r="E4" s="280">
        <v>0.3958333333333333</v>
      </c>
      <c r="F4" s="280">
        <v>0.4375</v>
      </c>
      <c r="G4" s="84" t="s">
        <v>106</v>
      </c>
      <c r="H4" s="318" t="str">
        <f>VLOOKUP($G4,'参加チーム'!$B$5:$G$73,IF($N$2=1,4,5),FALSE)</f>
        <v>azul</v>
      </c>
      <c r="I4" s="300">
        <f>IF(J4&lt;&gt;"",J4+J5,"")</f>
        <v>2</v>
      </c>
      <c r="J4" s="123">
        <v>1</v>
      </c>
      <c r="K4" s="301" t="s">
        <v>86</v>
      </c>
      <c r="L4" s="123">
        <v>2</v>
      </c>
      <c r="M4" s="300">
        <f>IF(L4&lt;&gt;"",L4+L5,"")</f>
        <v>6</v>
      </c>
      <c r="N4" s="84" t="s">
        <v>126</v>
      </c>
      <c r="O4" s="318" t="str">
        <f>VLOOKUP($N4,'参加チーム'!$B$5:$G$73,IF($N$2=1,4,5),FALSE)</f>
        <v>ULTIMO</v>
      </c>
      <c r="P4" s="326" t="str">
        <f>+O4</f>
        <v>ULTIMO</v>
      </c>
      <c r="Q4" s="322" t="str">
        <f>+O4</f>
        <v>ULTIMO</v>
      </c>
      <c r="S4" s="17" t="str">
        <f>+"前"&amp;G4&amp;N4</f>
        <v>前南Ｃ南Ｄ</v>
      </c>
      <c r="T4" s="18">
        <f>IF(I4&lt;&gt;"",I4,"")</f>
        <v>2</v>
      </c>
      <c r="U4" s="18">
        <f>IF(M4&lt;&gt;"",M4,"")</f>
        <v>6</v>
      </c>
      <c r="V4" s="19">
        <f>+B4</f>
        <v>40315</v>
      </c>
      <c r="X4" s="117">
        <f aca="true" t="shared" si="0" ref="X4:X33">MONTH(V4)</f>
        <v>5</v>
      </c>
      <c r="Y4" s="117">
        <f aca="true" t="shared" si="1" ref="Y4:Y33">DAY(V4)</f>
        <v>18</v>
      </c>
      <c r="Z4" s="117" t="str">
        <f aca="true" t="shared" si="2" ref="Z4:Z33">IF(LEN(X4)=1," ","")&amp;X4&amp;"/"&amp;IF(LEN(Y4)=1," ","")&amp;Y4</f>
        <v> 5/18</v>
      </c>
      <c r="AA4" s="117" t="str">
        <f aca="true" t="shared" si="3" ref="AA4:AA33">IF(T4&gt;U4,"○",IF(T4&lt;U4,"●","△"))</f>
        <v>●</v>
      </c>
      <c r="AB4" s="14" t="str">
        <f>IF(T4&lt;&gt;"",H4,"")</f>
        <v>azul</v>
      </c>
      <c r="AC4" s="117" t="str">
        <f>+Z4&amp;" "&amp;AA4&amp;" "&amp;T4&amp;"-"&amp;U4&amp;" "&amp;O4</f>
        <v> 5/18 ● 2-6 ULTIMO</v>
      </c>
      <c r="AD4" s="14">
        <f>+J4</f>
        <v>1</v>
      </c>
      <c r="AE4" s="14">
        <f>+J5</f>
        <v>1</v>
      </c>
      <c r="AF4" s="14">
        <f>+L4</f>
        <v>2</v>
      </c>
      <c r="AG4" s="14">
        <f>+L5</f>
        <v>4</v>
      </c>
      <c r="AH4" s="121">
        <f>+V4</f>
        <v>40315</v>
      </c>
    </row>
    <row r="5" spans="1:34" ht="14.25" customHeight="1">
      <c r="A5" s="289"/>
      <c r="B5" s="328"/>
      <c r="C5" s="405"/>
      <c r="D5" s="309"/>
      <c r="E5" s="281"/>
      <c r="F5" s="281"/>
      <c r="G5" s="85" t="str">
        <f>LEFT(VLOOKUP(G4,'参加チーム'!$B$5:$G$73,6,FALSE),2)</f>
        <v>宮城</v>
      </c>
      <c r="H5" s="317"/>
      <c r="I5" s="281"/>
      <c r="J5" s="116">
        <v>1</v>
      </c>
      <c r="K5" s="302"/>
      <c r="L5" s="116">
        <v>4</v>
      </c>
      <c r="M5" s="281"/>
      <c r="N5" s="85" t="str">
        <f>LEFT(VLOOKUP(N4,'参加チーム'!$B$5:$G$73,6,FALSE),2)</f>
        <v>宮城</v>
      </c>
      <c r="O5" s="317"/>
      <c r="P5" s="307"/>
      <c r="Q5" s="323"/>
      <c r="S5" s="20" t="str">
        <f>+"前"&amp;N4&amp;G4</f>
        <v>前南Ｄ南Ｃ</v>
      </c>
      <c r="T5" s="16">
        <f>IF(M4&lt;&gt;"",M4,"")</f>
        <v>6</v>
      </c>
      <c r="U5" s="16">
        <f>IF(I4&lt;&gt;"",I4,"")</f>
        <v>2</v>
      </c>
      <c r="V5" s="21">
        <f>+B4</f>
        <v>40315</v>
      </c>
      <c r="X5" s="117">
        <f t="shared" si="0"/>
        <v>5</v>
      </c>
      <c r="Y5" s="117">
        <f t="shared" si="1"/>
        <v>18</v>
      </c>
      <c r="Z5" s="117" t="str">
        <f t="shared" si="2"/>
        <v> 5/18</v>
      </c>
      <c r="AA5" s="117" t="str">
        <f t="shared" si="3"/>
        <v>○</v>
      </c>
      <c r="AB5" s="14" t="str">
        <f>IF(T5&lt;&gt;"",O4,"")</f>
        <v>ULTIMO</v>
      </c>
      <c r="AC5" s="117" t="str">
        <f>+Z5&amp;" "&amp;AA5&amp;" "&amp;T5&amp;"-"&amp;U5&amp;" "&amp;H4</f>
        <v> 5/18 ○ 6-2 azul</v>
      </c>
      <c r="AD5" s="14">
        <f>+L4</f>
        <v>2</v>
      </c>
      <c r="AE5" s="14">
        <f>+L5</f>
        <v>4</v>
      </c>
      <c r="AF5" s="14">
        <f>+J4</f>
        <v>1</v>
      </c>
      <c r="AG5" s="14">
        <f>+J5</f>
        <v>1</v>
      </c>
      <c r="AH5" s="121">
        <f aca="true" t="shared" si="4" ref="AH5:AH33">+V5</f>
        <v>40315</v>
      </c>
    </row>
    <row r="6" spans="1:34" ht="14.25" customHeight="1">
      <c r="A6" s="289"/>
      <c r="B6" s="328"/>
      <c r="C6" s="405"/>
      <c r="D6" s="297">
        <v>2</v>
      </c>
      <c r="E6" s="282">
        <v>0.45138888888888895</v>
      </c>
      <c r="F6" s="282">
        <v>0.513888888888889</v>
      </c>
      <c r="G6" s="86" t="s">
        <v>129</v>
      </c>
      <c r="H6" s="316" t="str">
        <f>VLOOKUP($G6,'参加チーム'!$B$5:$G$73,IF($N$2=1,4,5),FALSE)</f>
        <v>アトレチコ</v>
      </c>
      <c r="I6" s="304">
        <f>IF(J6&lt;&gt;"",J6+J7,"")</f>
        <v>3</v>
      </c>
      <c r="J6" s="116">
        <v>1</v>
      </c>
      <c r="K6" s="303" t="s">
        <v>86</v>
      </c>
      <c r="L6" s="116">
        <v>0</v>
      </c>
      <c r="M6" s="304">
        <f>IF(L6&lt;&gt;"",L6+L7,"")</f>
        <v>0</v>
      </c>
      <c r="N6" s="86" t="s">
        <v>127</v>
      </c>
      <c r="O6" s="316" t="str">
        <f>VLOOKUP($N6,'参加チーム'!$B$5:$G$73,IF($N$2=1,4,5),FALSE)</f>
        <v>カメレオン</v>
      </c>
      <c r="P6" s="325" t="str">
        <f>+O6</f>
        <v>カメレオン</v>
      </c>
      <c r="Q6" s="323"/>
      <c r="S6" s="20" t="str">
        <f>+"前"&amp;G6&amp;N6</f>
        <v>前南Ｂ南Ｅ</v>
      </c>
      <c r="T6" s="16">
        <f>+I6</f>
        <v>3</v>
      </c>
      <c r="U6" s="16">
        <f>+M6</f>
        <v>0</v>
      </c>
      <c r="V6" s="21">
        <f>+B4</f>
        <v>40315</v>
      </c>
      <c r="X6" s="117">
        <f t="shared" si="0"/>
        <v>5</v>
      </c>
      <c r="Y6" s="117">
        <f t="shared" si="1"/>
        <v>18</v>
      </c>
      <c r="Z6" s="117" t="str">
        <f t="shared" si="2"/>
        <v> 5/18</v>
      </c>
      <c r="AA6" s="117" t="str">
        <f t="shared" si="3"/>
        <v>○</v>
      </c>
      <c r="AB6" s="14" t="str">
        <f>IF(T6&lt;&gt;"",H6,"")</f>
        <v>アトレチコ</v>
      </c>
      <c r="AC6" s="117" t="str">
        <f>+Z6&amp;" "&amp;AA6&amp;" "&amp;T6&amp;"-"&amp;U6&amp;" "&amp;O6</f>
        <v> 5/18 ○ 3-0 カメレオン</v>
      </c>
      <c r="AD6" s="14">
        <f>+J6</f>
        <v>1</v>
      </c>
      <c r="AE6" s="14">
        <f>+J7</f>
        <v>2</v>
      </c>
      <c r="AF6" s="14">
        <f>+L6</f>
        <v>0</v>
      </c>
      <c r="AG6" s="14">
        <f>+L7</f>
        <v>0</v>
      </c>
      <c r="AH6" s="121">
        <f t="shared" si="4"/>
        <v>40315</v>
      </c>
    </row>
    <row r="7" spans="1:34" ht="14.25" customHeight="1">
      <c r="A7" s="289"/>
      <c r="B7" s="328"/>
      <c r="C7" s="401" t="s">
        <v>134</v>
      </c>
      <c r="D7" s="309"/>
      <c r="E7" s="281"/>
      <c r="F7" s="281"/>
      <c r="G7" s="85" t="str">
        <f>LEFT(VLOOKUP(G6,'参加チーム'!$B$5:$G$73,6,FALSE),2)</f>
        <v>福島</v>
      </c>
      <c r="H7" s="317"/>
      <c r="I7" s="281"/>
      <c r="J7" s="116">
        <v>2</v>
      </c>
      <c r="K7" s="302"/>
      <c r="L7" s="116">
        <v>0</v>
      </c>
      <c r="M7" s="281"/>
      <c r="N7" s="85" t="str">
        <f>LEFT(VLOOKUP(N6,'参加チーム'!$B$5:$G$73,6,FALSE),2)</f>
        <v>山形</v>
      </c>
      <c r="O7" s="317"/>
      <c r="P7" s="307"/>
      <c r="Q7" s="323"/>
      <c r="S7" s="20" t="str">
        <f>+"前"&amp;N6&amp;G6</f>
        <v>前南Ｅ南Ｂ</v>
      </c>
      <c r="T7" s="16">
        <f>+M6</f>
        <v>0</v>
      </c>
      <c r="U7" s="16">
        <f>+I6</f>
        <v>3</v>
      </c>
      <c r="V7" s="21">
        <f>+B4</f>
        <v>40315</v>
      </c>
      <c r="X7" s="117">
        <f t="shared" si="0"/>
        <v>5</v>
      </c>
      <c r="Y7" s="117">
        <f t="shared" si="1"/>
        <v>18</v>
      </c>
      <c r="Z7" s="117" t="str">
        <f t="shared" si="2"/>
        <v> 5/18</v>
      </c>
      <c r="AA7" s="117" t="str">
        <f t="shared" si="3"/>
        <v>●</v>
      </c>
      <c r="AB7" s="14" t="str">
        <f>IF(T7&lt;&gt;"",O6,"")</f>
        <v>カメレオン</v>
      </c>
      <c r="AC7" s="117" t="str">
        <f>+Z7&amp;" "&amp;AA7&amp;" "&amp;T7&amp;"-"&amp;U7&amp;" "&amp;H6</f>
        <v> 5/18 ● 0-3 アトレチコ</v>
      </c>
      <c r="AD7" s="14">
        <f>+L6</f>
        <v>0</v>
      </c>
      <c r="AE7" s="14">
        <f>+L7</f>
        <v>0</v>
      </c>
      <c r="AF7" s="14">
        <f>+J6</f>
        <v>1</v>
      </c>
      <c r="AG7" s="14">
        <f>+J7</f>
        <v>2</v>
      </c>
      <c r="AH7" s="121">
        <f t="shared" si="4"/>
        <v>40315</v>
      </c>
    </row>
    <row r="8" spans="1:34" ht="14.25" customHeight="1">
      <c r="A8" s="289"/>
      <c r="B8" s="328"/>
      <c r="C8" s="452"/>
      <c r="D8" s="297">
        <v>3</v>
      </c>
      <c r="E8" s="283">
        <v>0.5277777777777778</v>
      </c>
      <c r="F8" s="282">
        <v>0.5902777777777778</v>
      </c>
      <c r="G8" s="86" t="s">
        <v>105</v>
      </c>
      <c r="H8" s="316" t="str">
        <f>VLOOKUP($G8,'参加チーム'!$B$5:$G$73,IF($N$2=1,4,5),FALSE)</f>
        <v>Zoorasia</v>
      </c>
      <c r="I8" s="304">
        <f>IF(J8&lt;&gt;"",J8+J9,"")</f>
        <v>7</v>
      </c>
      <c r="J8" s="116">
        <v>3</v>
      </c>
      <c r="K8" s="303" t="s">
        <v>86</v>
      </c>
      <c r="L8" s="116">
        <v>0</v>
      </c>
      <c r="M8" s="304">
        <f>IF(L8&lt;&gt;"",L8+L9,"")</f>
        <v>1</v>
      </c>
      <c r="N8" s="86" t="s">
        <v>128</v>
      </c>
      <c r="O8" s="316" t="str">
        <f>VLOOKUP($N8,'参加チーム'!$B$5:$G$73,IF($N$2=1,4,5),FALSE)</f>
        <v>Craque</v>
      </c>
      <c r="P8" s="325" t="str">
        <f>+O8</f>
        <v>Craque</v>
      </c>
      <c r="Q8" s="323"/>
      <c r="S8" s="20" t="str">
        <f>+"前"&amp;G8&amp;N8</f>
        <v>前南Ａ南Ｆ</v>
      </c>
      <c r="T8" s="16">
        <f>+I8</f>
        <v>7</v>
      </c>
      <c r="U8" s="16">
        <f>+M8</f>
        <v>1</v>
      </c>
      <c r="V8" s="21">
        <f>+B4</f>
        <v>40315</v>
      </c>
      <c r="X8" s="117">
        <f t="shared" si="0"/>
        <v>5</v>
      </c>
      <c r="Y8" s="117">
        <f t="shared" si="1"/>
        <v>18</v>
      </c>
      <c r="Z8" s="117" t="str">
        <f t="shared" si="2"/>
        <v> 5/18</v>
      </c>
      <c r="AA8" s="117" t="str">
        <f t="shared" si="3"/>
        <v>○</v>
      </c>
      <c r="AB8" s="14" t="str">
        <f>IF(T8&lt;&gt;"",H8,"")</f>
        <v>Zoorasia</v>
      </c>
      <c r="AC8" s="117" t="str">
        <f>+Z8&amp;" "&amp;AA8&amp;" "&amp;T8&amp;"-"&amp;U8&amp;" "&amp;O8</f>
        <v> 5/18 ○ 7-1 Craque</v>
      </c>
      <c r="AD8" s="14">
        <f>+J8</f>
        <v>3</v>
      </c>
      <c r="AE8" s="14">
        <f>+J9</f>
        <v>4</v>
      </c>
      <c r="AF8" s="14">
        <f>+L8</f>
        <v>0</v>
      </c>
      <c r="AG8" s="14">
        <f>+L9</f>
        <v>1</v>
      </c>
      <c r="AH8" s="121">
        <f t="shared" si="4"/>
        <v>40315</v>
      </c>
    </row>
    <row r="9" spans="1:34" ht="15" customHeight="1" thickBot="1">
      <c r="A9" s="290"/>
      <c r="B9" s="329"/>
      <c r="C9" s="342"/>
      <c r="D9" s="298"/>
      <c r="E9" s="285"/>
      <c r="F9" s="305"/>
      <c r="G9" s="124" t="str">
        <f>LEFT(VLOOKUP(G8,'参加チーム'!$B$5:$G$73,6,FALSE),2)</f>
        <v>宮城</v>
      </c>
      <c r="H9" s="320"/>
      <c r="I9" s="305"/>
      <c r="J9" s="125">
        <v>4</v>
      </c>
      <c r="K9" s="321"/>
      <c r="L9" s="125">
        <v>1</v>
      </c>
      <c r="M9" s="305"/>
      <c r="N9" s="124" t="str">
        <f>LEFT(VLOOKUP(N8,'参加チーム'!$B$5:$G$73,6,FALSE),2)</f>
        <v>山形</v>
      </c>
      <c r="O9" s="320"/>
      <c r="P9" s="315"/>
      <c r="Q9" s="324"/>
      <c r="S9" s="22" t="str">
        <f>+"前"&amp;N8&amp;G8</f>
        <v>前南Ｆ南Ａ</v>
      </c>
      <c r="T9" s="23">
        <f>+M8</f>
        <v>1</v>
      </c>
      <c r="U9" s="23">
        <f>+I8</f>
        <v>7</v>
      </c>
      <c r="V9" s="24">
        <f>+B4</f>
        <v>40315</v>
      </c>
      <c r="X9" s="117">
        <f t="shared" si="0"/>
        <v>5</v>
      </c>
      <c r="Y9" s="117">
        <f t="shared" si="1"/>
        <v>18</v>
      </c>
      <c r="Z9" s="117" t="str">
        <f t="shared" si="2"/>
        <v> 5/18</v>
      </c>
      <c r="AA9" s="117" t="str">
        <f t="shared" si="3"/>
        <v>●</v>
      </c>
      <c r="AB9" s="14" t="str">
        <f>IF(T9&lt;&gt;"",O8,"")</f>
        <v>Craque</v>
      </c>
      <c r="AC9" s="117" t="str">
        <f>+Z9&amp;" "&amp;AA9&amp;" "&amp;T9&amp;"-"&amp;U9&amp;" "&amp;H8</f>
        <v> 5/18 ● 1-7 Zoorasia</v>
      </c>
      <c r="AD9" s="14">
        <f>+L8</f>
        <v>0</v>
      </c>
      <c r="AE9" s="14">
        <f>+L9</f>
        <v>1</v>
      </c>
      <c r="AF9" s="14">
        <f>+J8</f>
        <v>3</v>
      </c>
      <c r="AG9" s="14">
        <f>+J9</f>
        <v>4</v>
      </c>
      <c r="AH9" s="121">
        <f t="shared" si="4"/>
        <v>40315</v>
      </c>
    </row>
    <row r="10" spans="1:34" ht="14.25" customHeight="1">
      <c r="A10" s="288">
        <v>2</v>
      </c>
      <c r="B10" s="398">
        <v>40329</v>
      </c>
      <c r="C10" s="404" t="s">
        <v>59</v>
      </c>
      <c r="D10" s="308">
        <v>1</v>
      </c>
      <c r="E10" s="280">
        <v>0.3958333333333333</v>
      </c>
      <c r="F10" s="280">
        <v>0.4375</v>
      </c>
      <c r="G10" s="84" t="s">
        <v>127</v>
      </c>
      <c r="H10" s="318" t="str">
        <f>VLOOKUP($G10,'参加チーム'!$B$5:$G$73,IF($N$2=1,4,5),FALSE)</f>
        <v>カメレオン</v>
      </c>
      <c r="I10" s="300">
        <f>IF(J10&lt;&gt;"",J10+J11,"")</f>
        <v>1</v>
      </c>
      <c r="J10" s="123">
        <v>1</v>
      </c>
      <c r="K10" s="301" t="s">
        <v>86</v>
      </c>
      <c r="L10" s="123">
        <v>2</v>
      </c>
      <c r="M10" s="300">
        <f>IF(L10&lt;&gt;"",L10+L11,"")</f>
        <v>4</v>
      </c>
      <c r="N10" s="84" t="s">
        <v>105</v>
      </c>
      <c r="O10" s="318" t="str">
        <f>VLOOKUP($N10,'参加チーム'!$B$5:$G$73,IF($N$2=1,4,5),FALSE)</f>
        <v>Zoorasia</v>
      </c>
      <c r="P10" s="326" t="str">
        <f>+O10</f>
        <v>Zoorasia</v>
      </c>
      <c r="Q10" s="322" t="str">
        <f>+H10</f>
        <v>カメレオン</v>
      </c>
      <c r="S10" s="17" t="str">
        <f>+"前"&amp;G10&amp;N10</f>
        <v>前南Ｅ南Ａ</v>
      </c>
      <c r="T10" s="18">
        <f>IF(I10&lt;&gt;"",I10,"")</f>
        <v>1</v>
      </c>
      <c r="U10" s="18">
        <f>IF(M10&lt;&gt;"",M10,"")</f>
        <v>4</v>
      </c>
      <c r="V10" s="19">
        <f>+B10</f>
        <v>40329</v>
      </c>
      <c r="X10" s="117">
        <f t="shared" si="0"/>
        <v>6</v>
      </c>
      <c r="Y10" s="117">
        <f t="shared" si="1"/>
        <v>1</v>
      </c>
      <c r="Z10" s="117" t="str">
        <f t="shared" si="2"/>
        <v> 6/ 1</v>
      </c>
      <c r="AA10" s="117" t="str">
        <f t="shared" si="3"/>
        <v>●</v>
      </c>
      <c r="AB10" s="14" t="str">
        <f>IF(T10&lt;&gt;"",H10,"")</f>
        <v>カメレオン</v>
      </c>
      <c r="AC10" s="117" t="str">
        <f>+Z10&amp;" "&amp;AA10&amp;" "&amp;T10&amp;"-"&amp;U10&amp;" "&amp;O10</f>
        <v> 6/ 1 ● 1-4 Zoorasia</v>
      </c>
      <c r="AD10" s="14">
        <f>+J10</f>
        <v>1</v>
      </c>
      <c r="AE10" s="14">
        <f>+J11</f>
        <v>0</v>
      </c>
      <c r="AF10" s="14">
        <f>+L10</f>
        <v>2</v>
      </c>
      <c r="AG10" s="14">
        <f>+L11</f>
        <v>2</v>
      </c>
      <c r="AH10" s="121">
        <f t="shared" si="4"/>
        <v>40329</v>
      </c>
    </row>
    <row r="11" spans="1:34" ht="14.25" customHeight="1">
      <c r="A11" s="289"/>
      <c r="B11" s="328"/>
      <c r="C11" s="405"/>
      <c r="D11" s="309"/>
      <c r="E11" s="281"/>
      <c r="F11" s="281"/>
      <c r="G11" s="85" t="str">
        <f>LEFT(VLOOKUP(G10,'参加チーム'!$B$5:$G$73,6,FALSE),2)</f>
        <v>山形</v>
      </c>
      <c r="H11" s="317"/>
      <c r="I11" s="281"/>
      <c r="J11" s="116">
        <v>0</v>
      </c>
      <c r="K11" s="302"/>
      <c r="L11" s="116">
        <v>2</v>
      </c>
      <c r="M11" s="281"/>
      <c r="N11" s="85" t="str">
        <f>LEFT(VLOOKUP(N10,'参加チーム'!$B$5:$G$73,6,FALSE),2)</f>
        <v>宮城</v>
      </c>
      <c r="O11" s="317"/>
      <c r="P11" s="307"/>
      <c r="Q11" s="323"/>
      <c r="S11" s="20" t="str">
        <f>+"前"&amp;N10&amp;G10</f>
        <v>前南Ａ南Ｅ</v>
      </c>
      <c r="T11" s="16">
        <f>IF(M10&lt;&gt;"",M10,"")</f>
        <v>4</v>
      </c>
      <c r="U11" s="16">
        <f>IF(I10&lt;&gt;"",I10,"")</f>
        <v>1</v>
      </c>
      <c r="V11" s="21">
        <f>+B10</f>
        <v>40329</v>
      </c>
      <c r="X11" s="117">
        <f t="shared" si="0"/>
        <v>6</v>
      </c>
      <c r="Y11" s="117">
        <f t="shared" si="1"/>
        <v>1</v>
      </c>
      <c r="Z11" s="117" t="str">
        <f t="shared" si="2"/>
        <v> 6/ 1</v>
      </c>
      <c r="AA11" s="117" t="str">
        <f t="shared" si="3"/>
        <v>○</v>
      </c>
      <c r="AB11" s="14" t="str">
        <f>IF(T11&lt;&gt;"",O10,"")</f>
        <v>Zoorasia</v>
      </c>
      <c r="AC11" s="117" t="str">
        <f>+Z11&amp;" "&amp;AA11&amp;" "&amp;T11&amp;"-"&amp;U11&amp;" "&amp;H10</f>
        <v> 6/ 1 ○ 4-1 カメレオン</v>
      </c>
      <c r="AD11" s="14">
        <f>+L10</f>
        <v>2</v>
      </c>
      <c r="AE11" s="14">
        <f>+L11</f>
        <v>2</v>
      </c>
      <c r="AF11" s="14">
        <f>+J10</f>
        <v>1</v>
      </c>
      <c r="AG11" s="14">
        <f>+J11</f>
        <v>0</v>
      </c>
      <c r="AH11" s="121">
        <f t="shared" si="4"/>
        <v>40329</v>
      </c>
    </row>
    <row r="12" spans="1:34" ht="14.25" customHeight="1">
      <c r="A12" s="289"/>
      <c r="B12" s="328"/>
      <c r="C12" s="405"/>
      <c r="D12" s="297">
        <v>2</v>
      </c>
      <c r="E12" s="282">
        <v>0.45138888888888895</v>
      </c>
      <c r="F12" s="282">
        <v>0.513888888888889</v>
      </c>
      <c r="G12" s="86" t="s">
        <v>126</v>
      </c>
      <c r="H12" s="316" t="str">
        <f>VLOOKUP($G12,'参加チーム'!$B$5:$G$73,IF($N$2=1,4,5),FALSE)</f>
        <v>ULTIMO</v>
      </c>
      <c r="I12" s="304">
        <f>IF(J12&lt;&gt;"",J12+J13,"")</f>
        <v>8</v>
      </c>
      <c r="J12" s="116">
        <v>4</v>
      </c>
      <c r="K12" s="303" t="s">
        <v>86</v>
      </c>
      <c r="L12" s="116">
        <v>0</v>
      </c>
      <c r="M12" s="304">
        <f>IF(L12&lt;&gt;"",L12+L13,"")</f>
        <v>3</v>
      </c>
      <c r="N12" s="86" t="s">
        <v>129</v>
      </c>
      <c r="O12" s="316" t="str">
        <f>VLOOKUP($N12,'参加チーム'!$B$5:$G$73,IF($N$2=1,4,5),FALSE)</f>
        <v>アトレチコ</v>
      </c>
      <c r="P12" s="325" t="str">
        <f>+O12</f>
        <v>アトレチコ</v>
      </c>
      <c r="Q12" s="323"/>
      <c r="S12" s="20" t="str">
        <f>+"前"&amp;G12&amp;N12</f>
        <v>前南Ｄ南Ｂ</v>
      </c>
      <c r="T12" s="16">
        <f>IF(I12&lt;&gt;"",I12,"")</f>
        <v>8</v>
      </c>
      <c r="U12" s="16">
        <f>IF(M12&lt;&gt;"",M12,"")</f>
        <v>3</v>
      </c>
      <c r="V12" s="21">
        <f>+B10</f>
        <v>40329</v>
      </c>
      <c r="X12" s="117">
        <f t="shared" si="0"/>
        <v>6</v>
      </c>
      <c r="Y12" s="117">
        <f t="shared" si="1"/>
        <v>1</v>
      </c>
      <c r="Z12" s="117" t="str">
        <f t="shared" si="2"/>
        <v> 6/ 1</v>
      </c>
      <c r="AA12" s="117" t="str">
        <f t="shared" si="3"/>
        <v>○</v>
      </c>
      <c r="AB12" s="14" t="str">
        <f>IF(T12&lt;&gt;"",H12,"")</f>
        <v>ULTIMO</v>
      </c>
      <c r="AC12" s="117" t="str">
        <f>+Z12&amp;" "&amp;AA12&amp;" "&amp;T12&amp;"-"&amp;U12&amp;" "&amp;O12</f>
        <v> 6/ 1 ○ 8-3 アトレチコ</v>
      </c>
      <c r="AD12" s="14">
        <f>+J12</f>
        <v>4</v>
      </c>
      <c r="AE12" s="14">
        <f>+J13</f>
        <v>4</v>
      </c>
      <c r="AF12" s="14">
        <f>+L12</f>
        <v>0</v>
      </c>
      <c r="AG12" s="14">
        <f>+L13</f>
        <v>3</v>
      </c>
      <c r="AH12" s="121">
        <f t="shared" si="4"/>
        <v>40329</v>
      </c>
    </row>
    <row r="13" spans="1:34" ht="14.25" customHeight="1">
      <c r="A13" s="289"/>
      <c r="B13" s="328"/>
      <c r="C13" s="327" t="s">
        <v>239</v>
      </c>
      <c r="D13" s="309"/>
      <c r="E13" s="281"/>
      <c r="F13" s="281"/>
      <c r="G13" s="85" t="str">
        <f>LEFT(VLOOKUP(G12,'参加チーム'!$B$5:$G$73,6,FALSE),2)</f>
        <v>宮城</v>
      </c>
      <c r="H13" s="317"/>
      <c r="I13" s="281"/>
      <c r="J13" s="116">
        <v>4</v>
      </c>
      <c r="K13" s="302"/>
      <c r="L13" s="116">
        <v>3</v>
      </c>
      <c r="M13" s="281"/>
      <c r="N13" s="85" t="str">
        <f>LEFT(VLOOKUP(N12,'参加チーム'!$B$5:$G$73,6,FALSE),2)</f>
        <v>福島</v>
      </c>
      <c r="O13" s="317"/>
      <c r="P13" s="307"/>
      <c r="Q13" s="323"/>
      <c r="S13" s="20" t="str">
        <f>+"前"&amp;N12&amp;G12</f>
        <v>前南Ｂ南Ｄ</v>
      </c>
      <c r="T13" s="16">
        <f>IF(M12&lt;&gt;"",M12,"")</f>
        <v>3</v>
      </c>
      <c r="U13" s="16">
        <f>IF(I12&lt;&gt;"",I12,"")</f>
        <v>8</v>
      </c>
      <c r="V13" s="21">
        <f>+B10</f>
        <v>40329</v>
      </c>
      <c r="X13" s="117">
        <f t="shared" si="0"/>
        <v>6</v>
      </c>
      <c r="Y13" s="117">
        <f t="shared" si="1"/>
        <v>1</v>
      </c>
      <c r="Z13" s="117" t="str">
        <f t="shared" si="2"/>
        <v> 6/ 1</v>
      </c>
      <c r="AA13" s="117" t="str">
        <f t="shared" si="3"/>
        <v>●</v>
      </c>
      <c r="AB13" s="14" t="str">
        <f>IF(T13&lt;&gt;"",O12,"")</f>
        <v>アトレチコ</v>
      </c>
      <c r="AC13" s="117" t="str">
        <f>+Z13&amp;" "&amp;AA13&amp;" "&amp;T13&amp;"-"&amp;U13&amp;" "&amp;H12</f>
        <v> 6/ 1 ● 3-8 ULTIMO</v>
      </c>
      <c r="AD13" s="14">
        <f>+L12</f>
        <v>0</v>
      </c>
      <c r="AE13" s="14">
        <f>+L13</f>
        <v>3</v>
      </c>
      <c r="AF13" s="14">
        <f>+J12</f>
        <v>4</v>
      </c>
      <c r="AG13" s="14">
        <f>+J13</f>
        <v>4</v>
      </c>
      <c r="AH13" s="121">
        <f t="shared" si="4"/>
        <v>40329</v>
      </c>
    </row>
    <row r="14" spans="1:34" ht="14.25">
      <c r="A14" s="289"/>
      <c r="B14" s="328"/>
      <c r="C14" s="439"/>
      <c r="D14" s="297">
        <v>3</v>
      </c>
      <c r="E14" s="283">
        <v>0.5277777777777778</v>
      </c>
      <c r="F14" s="282">
        <v>0.5902777777777778</v>
      </c>
      <c r="G14" s="86" t="s">
        <v>128</v>
      </c>
      <c r="H14" s="316" t="str">
        <f>VLOOKUP($G14,'参加チーム'!$B$5:$G$73,IF($N$2=1,4,5),FALSE)</f>
        <v>Craque</v>
      </c>
      <c r="I14" s="304">
        <f>IF(J14&lt;&gt;"",J14+J15,"")</f>
        <v>6</v>
      </c>
      <c r="J14" s="116">
        <v>5</v>
      </c>
      <c r="K14" s="303" t="s">
        <v>86</v>
      </c>
      <c r="L14" s="116">
        <v>2</v>
      </c>
      <c r="M14" s="304">
        <f>IF(L14&lt;&gt;"",L14+L15,"")</f>
        <v>8</v>
      </c>
      <c r="N14" s="86" t="s">
        <v>106</v>
      </c>
      <c r="O14" s="316" t="str">
        <f>VLOOKUP($N14,'参加チーム'!$B$5:$G$73,IF($N$2=1,4,5),FALSE)</f>
        <v>azul</v>
      </c>
      <c r="P14" s="325" t="str">
        <f>+O14</f>
        <v>azul</v>
      </c>
      <c r="Q14" s="323"/>
      <c r="S14" s="20" t="str">
        <f>+"前"&amp;G14&amp;N14</f>
        <v>前南Ｆ南Ｃ</v>
      </c>
      <c r="T14" s="16">
        <f>IF(I14&lt;&gt;"",I14,"")</f>
        <v>6</v>
      </c>
      <c r="U14" s="16">
        <f>IF(M14&lt;&gt;"",M14,"")</f>
        <v>8</v>
      </c>
      <c r="V14" s="21">
        <f>+B10</f>
        <v>40329</v>
      </c>
      <c r="X14" s="117">
        <f t="shared" si="0"/>
        <v>6</v>
      </c>
      <c r="Y14" s="117">
        <f t="shared" si="1"/>
        <v>1</v>
      </c>
      <c r="Z14" s="117" t="str">
        <f t="shared" si="2"/>
        <v> 6/ 1</v>
      </c>
      <c r="AA14" s="117" t="str">
        <f t="shared" si="3"/>
        <v>●</v>
      </c>
      <c r="AB14" s="14" t="str">
        <f>IF(T14&lt;&gt;"",H14,"")</f>
        <v>Craque</v>
      </c>
      <c r="AC14" s="117" t="str">
        <f>+Z14&amp;" "&amp;AA14&amp;" "&amp;T14&amp;"-"&amp;U14&amp;" "&amp;O14</f>
        <v> 6/ 1 ● 6-8 azul</v>
      </c>
      <c r="AD14" s="14">
        <f>+J14</f>
        <v>5</v>
      </c>
      <c r="AE14" s="14">
        <f>+J15</f>
        <v>1</v>
      </c>
      <c r="AF14" s="14">
        <f>+L14</f>
        <v>2</v>
      </c>
      <c r="AG14" s="14">
        <f>+L15</f>
        <v>6</v>
      </c>
      <c r="AH14" s="121">
        <f t="shared" si="4"/>
        <v>40329</v>
      </c>
    </row>
    <row r="15" spans="1:34" ht="15" thickBot="1">
      <c r="A15" s="290"/>
      <c r="B15" s="329"/>
      <c r="C15" s="440"/>
      <c r="D15" s="298"/>
      <c r="E15" s="285"/>
      <c r="F15" s="305"/>
      <c r="G15" s="124" t="str">
        <f>LEFT(VLOOKUP(G14,'参加チーム'!$B$5:$G$73,6,FALSE),2)</f>
        <v>山形</v>
      </c>
      <c r="H15" s="320"/>
      <c r="I15" s="305"/>
      <c r="J15" s="125">
        <v>1</v>
      </c>
      <c r="K15" s="321"/>
      <c r="L15" s="125">
        <v>6</v>
      </c>
      <c r="M15" s="305"/>
      <c r="N15" s="124" t="str">
        <f>LEFT(VLOOKUP(N14,'参加チーム'!$B$5:$G$73,6,FALSE),2)</f>
        <v>宮城</v>
      </c>
      <c r="O15" s="320"/>
      <c r="P15" s="315"/>
      <c r="Q15" s="324"/>
      <c r="S15" s="22" t="str">
        <f>+"前"&amp;N14&amp;G14</f>
        <v>前南Ｃ南Ｆ</v>
      </c>
      <c r="T15" s="23">
        <f>IF(M14&lt;&gt;"",M14,"")</f>
        <v>8</v>
      </c>
      <c r="U15" s="23">
        <f>IF(I14&lt;&gt;"",I14,"")</f>
        <v>6</v>
      </c>
      <c r="V15" s="24">
        <f>+B10</f>
        <v>40329</v>
      </c>
      <c r="X15" s="117">
        <f t="shared" si="0"/>
        <v>6</v>
      </c>
      <c r="Y15" s="117">
        <f t="shared" si="1"/>
        <v>1</v>
      </c>
      <c r="Z15" s="117" t="str">
        <f t="shared" si="2"/>
        <v> 6/ 1</v>
      </c>
      <c r="AA15" s="117" t="str">
        <f t="shared" si="3"/>
        <v>○</v>
      </c>
      <c r="AB15" s="14" t="str">
        <f>IF(T15&lt;&gt;"",O14,"")</f>
        <v>azul</v>
      </c>
      <c r="AC15" s="117" t="str">
        <f>+Z15&amp;" "&amp;AA15&amp;" "&amp;T15&amp;"-"&amp;U15&amp;" "&amp;H14</f>
        <v> 6/ 1 ○ 8-6 Craque</v>
      </c>
      <c r="AD15" s="14">
        <f>+L14</f>
        <v>2</v>
      </c>
      <c r="AE15" s="14">
        <f>+L15</f>
        <v>6</v>
      </c>
      <c r="AF15" s="14">
        <f>+J14</f>
        <v>5</v>
      </c>
      <c r="AG15" s="14">
        <f>+J15</f>
        <v>1</v>
      </c>
      <c r="AH15" s="121">
        <f t="shared" si="4"/>
        <v>40329</v>
      </c>
    </row>
    <row r="16" spans="1:34" ht="14.25" customHeight="1">
      <c r="A16" s="288">
        <v>3</v>
      </c>
      <c r="B16" s="398">
        <v>40356</v>
      </c>
      <c r="C16" s="404" t="s">
        <v>87</v>
      </c>
      <c r="D16" s="308">
        <v>1</v>
      </c>
      <c r="E16" s="280">
        <v>0.3958333333333333</v>
      </c>
      <c r="F16" s="280">
        <v>0.4375</v>
      </c>
      <c r="G16" s="84" t="s">
        <v>106</v>
      </c>
      <c r="H16" s="318" t="str">
        <f>VLOOKUP($G16,'参加チーム'!$B$5:$G$73,IF($N$2=1,4,5),FALSE)</f>
        <v>azul</v>
      </c>
      <c r="I16" s="300">
        <f>IF(J16&lt;&gt;"",J16+J17,"")</f>
        <v>7</v>
      </c>
      <c r="J16" s="123">
        <v>4</v>
      </c>
      <c r="K16" s="301" t="s">
        <v>86</v>
      </c>
      <c r="L16" s="123">
        <v>1</v>
      </c>
      <c r="M16" s="300">
        <f>IF(L16&lt;&gt;"",L16+L17,"")</f>
        <v>2</v>
      </c>
      <c r="N16" s="84" t="s">
        <v>129</v>
      </c>
      <c r="O16" s="318" t="str">
        <f>VLOOKUP($N16,'参加チーム'!$B$5:$G$73,IF($N$2=1,4,5),FALSE)</f>
        <v>アトレチコ</v>
      </c>
      <c r="P16" s="326" t="str">
        <f>+O16</f>
        <v>アトレチコ</v>
      </c>
      <c r="Q16" s="322" t="str">
        <f>+H16</f>
        <v>azul</v>
      </c>
      <c r="S16" s="17" t="str">
        <f>+"前"&amp;G16&amp;N16</f>
        <v>前南Ｃ南Ｂ</v>
      </c>
      <c r="T16" s="18">
        <f>IF(I16&lt;&gt;"",I16,"")</f>
        <v>7</v>
      </c>
      <c r="U16" s="18">
        <f>IF(M16&lt;&gt;"",M16,"")</f>
        <v>2</v>
      </c>
      <c r="V16" s="19">
        <f>+B16</f>
        <v>40356</v>
      </c>
      <c r="X16" s="117">
        <f t="shared" si="0"/>
        <v>6</v>
      </c>
      <c r="Y16" s="117">
        <f t="shared" si="1"/>
        <v>28</v>
      </c>
      <c r="Z16" s="117" t="str">
        <f t="shared" si="2"/>
        <v> 6/28</v>
      </c>
      <c r="AA16" s="117" t="str">
        <f t="shared" si="3"/>
        <v>○</v>
      </c>
      <c r="AB16" s="14" t="str">
        <f>IF(T16&lt;&gt;"",H16,"")</f>
        <v>azul</v>
      </c>
      <c r="AC16" s="117" t="str">
        <f>+Z16&amp;" "&amp;AA16&amp;" "&amp;T16&amp;"-"&amp;U16&amp;" "&amp;O16</f>
        <v> 6/28 ○ 7-2 アトレチコ</v>
      </c>
      <c r="AD16" s="14">
        <f>+J16</f>
        <v>4</v>
      </c>
      <c r="AE16" s="14">
        <f>+J17</f>
        <v>3</v>
      </c>
      <c r="AF16" s="14">
        <f>+L16</f>
        <v>1</v>
      </c>
      <c r="AG16" s="14">
        <f>+L17</f>
        <v>1</v>
      </c>
      <c r="AH16" s="121">
        <f t="shared" si="4"/>
        <v>40356</v>
      </c>
    </row>
    <row r="17" spans="1:34" ht="14.25" customHeight="1">
      <c r="A17" s="289"/>
      <c r="B17" s="328"/>
      <c r="C17" s="405"/>
      <c r="D17" s="309"/>
      <c r="E17" s="281"/>
      <c r="F17" s="281"/>
      <c r="G17" s="85" t="str">
        <f>LEFT(VLOOKUP(G16,'参加チーム'!$B$5:$G$73,6,FALSE),2)</f>
        <v>宮城</v>
      </c>
      <c r="H17" s="317"/>
      <c r="I17" s="281"/>
      <c r="J17" s="116">
        <v>3</v>
      </c>
      <c r="K17" s="302"/>
      <c r="L17" s="116">
        <v>1</v>
      </c>
      <c r="M17" s="281"/>
      <c r="N17" s="85" t="str">
        <f>LEFT(VLOOKUP(N16,'参加チーム'!$B$5:$G$73,6,FALSE),2)</f>
        <v>福島</v>
      </c>
      <c r="O17" s="317"/>
      <c r="P17" s="307"/>
      <c r="Q17" s="323"/>
      <c r="S17" s="20" t="str">
        <f>+"前"&amp;N16&amp;G16</f>
        <v>前南Ｂ南Ｃ</v>
      </c>
      <c r="T17" s="16">
        <f>IF(M16&lt;&gt;"",M16,"")</f>
        <v>2</v>
      </c>
      <c r="U17" s="16">
        <f>IF(I16&lt;&gt;"",I16,"")</f>
        <v>7</v>
      </c>
      <c r="V17" s="21">
        <f>+B16</f>
        <v>40356</v>
      </c>
      <c r="X17" s="117">
        <f t="shared" si="0"/>
        <v>6</v>
      </c>
      <c r="Y17" s="117">
        <f t="shared" si="1"/>
        <v>28</v>
      </c>
      <c r="Z17" s="117" t="str">
        <f t="shared" si="2"/>
        <v> 6/28</v>
      </c>
      <c r="AA17" s="117" t="str">
        <f t="shared" si="3"/>
        <v>●</v>
      </c>
      <c r="AB17" s="14" t="str">
        <f>IF(T17&lt;&gt;"",O16,"")</f>
        <v>アトレチコ</v>
      </c>
      <c r="AC17" s="117" t="str">
        <f>+Z17&amp;" "&amp;AA17&amp;" "&amp;T17&amp;"-"&amp;U17&amp;" "&amp;H16</f>
        <v> 6/28 ● 2-7 azul</v>
      </c>
      <c r="AD17" s="14">
        <f>+L16</f>
        <v>1</v>
      </c>
      <c r="AE17" s="14">
        <f>+L17</f>
        <v>1</v>
      </c>
      <c r="AF17" s="14">
        <f>+J16</f>
        <v>4</v>
      </c>
      <c r="AG17" s="14">
        <f>+J17</f>
        <v>3</v>
      </c>
      <c r="AH17" s="121">
        <f t="shared" si="4"/>
        <v>40356</v>
      </c>
    </row>
    <row r="18" spans="1:34" ht="14.25" customHeight="1">
      <c r="A18" s="289"/>
      <c r="B18" s="328"/>
      <c r="C18" s="405"/>
      <c r="D18" s="297">
        <v>2</v>
      </c>
      <c r="E18" s="282">
        <v>0.45138888888888895</v>
      </c>
      <c r="F18" s="282">
        <v>0.513888888888889</v>
      </c>
      <c r="G18" s="86" t="s">
        <v>128</v>
      </c>
      <c r="H18" s="316" t="str">
        <f>VLOOKUP($G18,'参加チーム'!$B$5:$G$73,IF($N$2=1,4,5),FALSE)</f>
        <v>Craque</v>
      </c>
      <c r="I18" s="304">
        <f>IF(J18&lt;&gt;"",J18+J19,"")</f>
        <v>6</v>
      </c>
      <c r="J18" s="116">
        <v>2</v>
      </c>
      <c r="K18" s="303" t="s">
        <v>86</v>
      </c>
      <c r="L18" s="116">
        <v>1</v>
      </c>
      <c r="M18" s="304">
        <f>IF(L18&lt;&gt;"",L18+L19,"")</f>
        <v>3</v>
      </c>
      <c r="N18" s="86" t="s">
        <v>127</v>
      </c>
      <c r="O18" s="316" t="str">
        <f>VLOOKUP($N18,'参加チーム'!$B$5:$G$73,IF($N$2=1,4,5),FALSE)</f>
        <v>カメレオン</v>
      </c>
      <c r="P18" s="325" t="str">
        <f>+O18</f>
        <v>カメレオン</v>
      </c>
      <c r="Q18" s="323"/>
      <c r="S18" s="20" t="str">
        <f>+"前"&amp;G18&amp;N18</f>
        <v>前南Ｆ南Ｅ</v>
      </c>
      <c r="T18" s="16">
        <f>IF(I18&lt;&gt;"",I18,"")</f>
        <v>6</v>
      </c>
      <c r="U18" s="16">
        <f>IF(M18&lt;&gt;"",M18,"")</f>
        <v>3</v>
      </c>
      <c r="V18" s="21">
        <f>+B16</f>
        <v>40356</v>
      </c>
      <c r="X18" s="117">
        <f t="shared" si="0"/>
        <v>6</v>
      </c>
      <c r="Y18" s="117">
        <f t="shared" si="1"/>
        <v>28</v>
      </c>
      <c r="Z18" s="117" t="str">
        <f t="shared" si="2"/>
        <v> 6/28</v>
      </c>
      <c r="AA18" s="117" t="str">
        <f t="shared" si="3"/>
        <v>○</v>
      </c>
      <c r="AB18" s="14" t="str">
        <f>IF(T18&lt;&gt;"",H18,"")</f>
        <v>Craque</v>
      </c>
      <c r="AC18" s="117" t="str">
        <f>+Z18&amp;" "&amp;AA18&amp;" "&amp;T18&amp;"-"&amp;U18&amp;" "&amp;O18</f>
        <v> 6/28 ○ 6-3 カメレオン</v>
      </c>
      <c r="AD18" s="14">
        <f>+J18</f>
        <v>2</v>
      </c>
      <c r="AE18" s="14">
        <f>+J19</f>
        <v>4</v>
      </c>
      <c r="AF18" s="14">
        <f>+L18</f>
        <v>1</v>
      </c>
      <c r="AG18" s="14">
        <f>+L19</f>
        <v>2</v>
      </c>
      <c r="AH18" s="121">
        <f t="shared" si="4"/>
        <v>40356</v>
      </c>
    </row>
    <row r="19" spans="1:34" ht="14.25" customHeight="1">
      <c r="A19" s="289"/>
      <c r="B19" s="328"/>
      <c r="C19" s="401" t="s">
        <v>134</v>
      </c>
      <c r="D19" s="309"/>
      <c r="E19" s="281"/>
      <c r="F19" s="281"/>
      <c r="G19" s="85" t="str">
        <f>LEFT(VLOOKUP(G18,'参加チーム'!$B$5:$G$73,6,FALSE),2)</f>
        <v>山形</v>
      </c>
      <c r="H19" s="317"/>
      <c r="I19" s="281"/>
      <c r="J19" s="116">
        <v>4</v>
      </c>
      <c r="K19" s="302"/>
      <c r="L19" s="116">
        <v>2</v>
      </c>
      <c r="M19" s="281"/>
      <c r="N19" s="85" t="str">
        <f>LEFT(VLOOKUP(N18,'参加チーム'!$B$5:$G$73,6,FALSE),2)</f>
        <v>山形</v>
      </c>
      <c r="O19" s="317"/>
      <c r="P19" s="307"/>
      <c r="Q19" s="323"/>
      <c r="S19" s="20" t="str">
        <f>+"前"&amp;N18&amp;G18</f>
        <v>前南Ｅ南Ｆ</v>
      </c>
      <c r="T19" s="16">
        <f>IF(M18&lt;&gt;"",M18,"")</f>
        <v>3</v>
      </c>
      <c r="U19" s="16">
        <f>IF(I18&lt;&gt;"",I18,"")</f>
        <v>6</v>
      </c>
      <c r="V19" s="21">
        <f>+B16</f>
        <v>40356</v>
      </c>
      <c r="X19" s="117">
        <f t="shared" si="0"/>
        <v>6</v>
      </c>
      <c r="Y19" s="117">
        <f t="shared" si="1"/>
        <v>28</v>
      </c>
      <c r="Z19" s="117" t="str">
        <f t="shared" si="2"/>
        <v> 6/28</v>
      </c>
      <c r="AA19" s="117" t="str">
        <f t="shared" si="3"/>
        <v>●</v>
      </c>
      <c r="AB19" s="14" t="str">
        <f>IF(T19&lt;&gt;"",O18,"")</f>
        <v>カメレオン</v>
      </c>
      <c r="AC19" s="117" t="str">
        <f>+Z19&amp;" "&amp;AA19&amp;" "&amp;T19&amp;"-"&amp;U19&amp;" "&amp;H18</f>
        <v> 6/28 ● 3-6 Craque</v>
      </c>
      <c r="AD19" s="14">
        <f>+L18</f>
        <v>1</v>
      </c>
      <c r="AE19" s="14">
        <f>+L19</f>
        <v>2</v>
      </c>
      <c r="AF19" s="14">
        <f>+J18</f>
        <v>2</v>
      </c>
      <c r="AG19" s="14">
        <f>+J19</f>
        <v>4</v>
      </c>
      <c r="AH19" s="121">
        <f t="shared" si="4"/>
        <v>40356</v>
      </c>
    </row>
    <row r="20" spans="1:34" ht="14.25" customHeight="1">
      <c r="A20" s="289"/>
      <c r="B20" s="328"/>
      <c r="C20" s="452"/>
      <c r="D20" s="297">
        <v>3</v>
      </c>
      <c r="E20" s="283">
        <v>0.5277777777777778</v>
      </c>
      <c r="F20" s="282">
        <v>0.5902777777777778</v>
      </c>
      <c r="G20" s="86" t="s">
        <v>105</v>
      </c>
      <c r="H20" s="316" t="str">
        <f>VLOOKUP($G20,'参加チーム'!$B$5:$G$73,IF($N$2=1,4,5),FALSE)</f>
        <v>Zoorasia</v>
      </c>
      <c r="I20" s="304">
        <f>IF(J20&lt;&gt;"",J20+J21,"")</f>
        <v>1</v>
      </c>
      <c r="J20" s="116">
        <v>0</v>
      </c>
      <c r="K20" s="303" t="s">
        <v>86</v>
      </c>
      <c r="L20" s="116">
        <v>0</v>
      </c>
      <c r="M20" s="304">
        <f>IF(L20&lt;&gt;"",L20+L21,"")</f>
        <v>1</v>
      </c>
      <c r="N20" s="86" t="s">
        <v>126</v>
      </c>
      <c r="O20" s="316" t="str">
        <f>VLOOKUP($N20,'参加チーム'!$B$5:$G$73,IF($N$2=1,4,5),FALSE)</f>
        <v>ULTIMO</v>
      </c>
      <c r="P20" s="325" t="str">
        <f>+O20</f>
        <v>ULTIMO</v>
      </c>
      <c r="Q20" s="323"/>
      <c r="S20" s="20" t="str">
        <f>+"前"&amp;G20&amp;N20</f>
        <v>前南Ａ南Ｄ</v>
      </c>
      <c r="T20" s="16">
        <f>IF(I20&lt;&gt;"",I20,"")</f>
        <v>1</v>
      </c>
      <c r="U20" s="16">
        <f>IF(M20&lt;&gt;"",M20,"")</f>
        <v>1</v>
      </c>
      <c r="V20" s="21">
        <f>+B16</f>
        <v>40356</v>
      </c>
      <c r="X20" s="117">
        <f t="shared" si="0"/>
        <v>6</v>
      </c>
      <c r="Y20" s="117">
        <f t="shared" si="1"/>
        <v>28</v>
      </c>
      <c r="Z20" s="117" t="str">
        <f t="shared" si="2"/>
        <v> 6/28</v>
      </c>
      <c r="AA20" s="117" t="str">
        <f t="shared" si="3"/>
        <v>△</v>
      </c>
      <c r="AB20" s="14" t="str">
        <f>IF(T20&lt;&gt;"",H20,"")</f>
        <v>Zoorasia</v>
      </c>
      <c r="AC20" s="117" t="str">
        <f>+Z20&amp;" "&amp;AA20&amp;" "&amp;T20&amp;"-"&amp;U20&amp;" "&amp;O20</f>
        <v> 6/28 △ 1-1 ULTIMO</v>
      </c>
      <c r="AD20" s="14">
        <f>+J20</f>
        <v>0</v>
      </c>
      <c r="AE20" s="14">
        <f>+J21</f>
        <v>1</v>
      </c>
      <c r="AF20" s="14">
        <f>+L20</f>
        <v>0</v>
      </c>
      <c r="AG20" s="14">
        <f>+L21</f>
        <v>1</v>
      </c>
      <c r="AH20" s="121">
        <f t="shared" si="4"/>
        <v>40356</v>
      </c>
    </row>
    <row r="21" spans="1:34" ht="15" customHeight="1" thickBot="1">
      <c r="A21" s="290"/>
      <c r="B21" s="329"/>
      <c r="C21" s="342"/>
      <c r="D21" s="298"/>
      <c r="E21" s="285"/>
      <c r="F21" s="305"/>
      <c r="G21" s="124" t="str">
        <f>LEFT(VLOOKUP(G20,'参加チーム'!$B$5:$G$73,6,FALSE),2)</f>
        <v>宮城</v>
      </c>
      <c r="H21" s="320"/>
      <c r="I21" s="305"/>
      <c r="J21" s="125">
        <v>1</v>
      </c>
      <c r="K21" s="321"/>
      <c r="L21" s="125">
        <v>1</v>
      </c>
      <c r="M21" s="305"/>
      <c r="N21" s="124" t="str">
        <f>LEFT(VLOOKUP(N20,'参加チーム'!$B$5:$G$73,6,FALSE),2)</f>
        <v>宮城</v>
      </c>
      <c r="O21" s="320"/>
      <c r="P21" s="315"/>
      <c r="Q21" s="324"/>
      <c r="S21" s="22" t="str">
        <f>+"前"&amp;N20&amp;G20</f>
        <v>前南Ｄ南Ａ</v>
      </c>
      <c r="T21" s="23">
        <f>IF(M20&lt;&gt;"",M20,"")</f>
        <v>1</v>
      </c>
      <c r="U21" s="23">
        <f>IF(I20&lt;&gt;"",I20,"")</f>
        <v>1</v>
      </c>
      <c r="V21" s="24">
        <f>+B16</f>
        <v>40356</v>
      </c>
      <c r="X21" s="117">
        <f t="shared" si="0"/>
        <v>6</v>
      </c>
      <c r="Y21" s="117">
        <f t="shared" si="1"/>
        <v>28</v>
      </c>
      <c r="Z21" s="117" t="str">
        <f t="shared" si="2"/>
        <v> 6/28</v>
      </c>
      <c r="AA21" s="117" t="str">
        <f t="shared" si="3"/>
        <v>△</v>
      </c>
      <c r="AB21" s="14" t="str">
        <f>IF(T21&lt;&gt;"",O20,"")</f>
        <v>ULTIMO</v>
      </c>
      <c r="AC21" s="117" t="str">
        <f>+Z21&amp;" "&amp;AA21&amp;" "&amp;T21&amp;"-"&amp;U21&amp;" "&amp;H20</f>
        <v> 6/28 △ 1-1 Zoorasia</v>
      </c>
      <c r="AD21" s="14">
        <f>+L20</f>
        <v>0</v>
      </c>
      <c r="AE21" s="14">
        <f>+L21</f>
        <v>1</v>
      </c>
      <c r="AF21" s="14">
        <f>+J20</f>
        <v>0</v>
      </c>
      <c r="AG21" s="14">
        <f>+J21</f>
        <v>1</v>
      </c>
      <c r="AH21" s="121">
        <f t="shared" si="4"/>
        <v>40356</v>
      </c>
    </row>
    <row r="22" spans="1:34" ht="14.25" customHeight="1">
      <c r="A22" s="288">
        <v>4</v>
      </c>
      <c r="B22" s="398">
        <v>40371</v>
      </c>
      <c r="C22" s="404" t="s">
        <v>59</v>
      </c>
      <c r="D22" s="308">
        <v>1</v>
      </c>
      <c r="E22" s="280">
        <v>0.3958333333333333</v>
      </c>
      <c r="F22" s="280">
        <v>0.4375</v>
      </c>
      <c r="G22" s="84" t="s">
        <v>129</v>
      </c>
      <c r="H22" s="318" t="str">
        <f>VLOOKUP($G22,'参加チーム'!$B$5:$G$73,IF($N$2=1,4,5),FALSE)</f>
        <v>アトレチコ</v>
      </c>
      <c r="I22" s="300">
        <f>IF(J22&lt;&gt;"",J22+J23,"")</f>
        <v>4</v>
      </c>
      <c r="J22" s="123">
        <v>1</v>
      </c>
      <c r="K22" s="301" t="s">
        <v>86</v>
      </c>
      <c r="L22" s="123">
        <v>1</v>
      </c>
      <c r="M22" s="300">
        <f>IF(L22&lt;&gt;"",L22+L23,"")</f>
        <v>5</v>
      </c>
      <c r="N22" s="84" t="s">
        <v>128</v>
      </c>
      <c r="O22" s="318" t="str">
        <f>VLOOKUP($N22,'参加チーム'!$B$5:$G$73,IF($N$2=1,4,5),FALSE)</f>
        <v>Craque</v>
      </c>
      <c r="P22" s="326" t="str">
        <f>+O22</f>
        <v>Craque</v>
      </c>
      <c r="Q22" s="322" t="str">
        <f>+O22</f>
        <v>Craque</v>
      </c>
      <c r="S22" s="17" t="str">
        <f>+"前"&amp;G22&amp;N22</f>
        <v>前南Ｂ南Ｆ</v>
      </c>
      <c r="T22" s="18">
        <f>IF(I22&lt;&gt;"",I22,"")</f>
        <v>4</v>
      </c>
      <c r="U22" s="18">
        <f>IF(M22&lt;&gt;"",M22,"")</f>
        <v>5</v>
      </c>
      <c r="V22" s="19">
        <f>+B22</f>
        <v>40371</v>
      </c>
      <c r="X22" s="117">
        <f t="shared" si="0"/>
        <v>7</v>
      </c>
      <c r="Y22" s="117">
        <f t="shared" si="1"/>
        <v>13</v>
      </c>
      <c r="Z22" s="117" t="str">
        <f t="shared" si="2"/>
        <v> 7/13</v>
      </c>
      <c r="AA22" s="117" t="str">
        <f t="shared" si="3"/>
        <v>●</v>
      </c>
      <c r="AB22" s="14" t="str">
        <f>IF(T22&lt;&gt;"",H22,"")</f>
        <v>アトレチコ</v>
      </c>
      <c r="AC22" s="117" t="str">
        <f>+Z22&amp;" "&amp;AA22&amp;" "&amp;T22&amp;"-"&amp;U22&amp;" "&amp;O22</f>
        <v> 7/13 ● 4-5 Craque</v>
      </c>
      <c r="AD22" s="14">
        <f>+J22</f>
        <v>1</v>
      </c>
      <c r="AE22" s="14">
        <f>+J23</f>
        <v>3</v>
      </c>
      <c r="AF22" s="14">
        <f>+L22</f>
        <v>1</v>
      </c>
      <c r="AG22" s="14">
        <f>+L23</f>
        <v>4</v>
      </c>
      <c r="AH22" s="121">
        <f t="shared" si="4"/>
        <v>40371</v>
      </c>
    </row>
    <row r="23" spans="1:34" ht="14.25" customHeight="1">
      <c r="A23" s="289"/>
      <c r="B23" s="328"/>
      <c r="C23" s="405"/>
      <c r="D23" s="309"/>
      <c r="E23" s="281"/>
      <c r="F23" s="281"/>
      <c r="G23" s="85" t="str">
        <f>LEFT(VLOOKUP(G22,'参加チーム'!$B$5:$G$73,6,FALSE),2)</f>
        <v>福島</v>
      </c>
      <c r="H23" s="317"/>
      <c r="I23" s="281"/>
      <c r="J23" s="116">
        <v>3</v>
      </c>
      <c r="K23" s="302"/>
      <c r="L23" s="116">
        <v>4</v>
      </c>
      <c r="M23" s="281"/>
      <c r="N23" s="85" t="str">
        <f>LEFT(VLOOKUP(N22,'参加チーム'!$B$5:$G$73,6,FALSE),2)</f>
        <v>山形</v>
      </c>
      <c r="O23" s="317"/>
      <c r="P23" s="307"/>
      <c r="Q23" s="323"/>
      <c r="S23" s="20" t="str">
        <f>+"前"&amp;N22&amp;G22</f>
        <v>前南Ｆ南Ｂ</v>
      </c>
      <c r="T23" s="16">
        <f>IF(M22&lt;&gt;"",M22,"")</f>
        <v>5</v>
      </c>
      <c r="U23" s="16">
        <f>IF(I22&lt;&gt;"",I22,"")</f>
        <v>4</v>
      </c>
      <c r="V23" s="21">
        <f>+B22</f>
        <v>40371</v>
      </c>
      <c r="X23" s="117">
        <f t="shared" si="0"/>
        <v>7</v>
      </c>
      <c r="Y23" s="117">
        <f t="shared" si="1"/>
        <v>13</v>
      </c>
      <c r="Z23" s="117" t="str">
        <f t="shared" si="2"/>
        <v> 7/13</v>
      </c>
      <c r="AA23" s="117" t="str">
        <f t="shared" si="3"/>
        <v>○</v>
      </c>
      <c r="AB23" s="14" t="str">
        <f>IF(T23&lt;&gt;"",O22,"")</f>
        <v>Craque</v>
      </c>
      <c r="AC23" s="117" t="str">
        <f>+Z23&amp;" "&amp;AA23&amp;" "&amp;T23&amp;"-"&amp;U23&amp;" "&amp;H22</f>
        <v> 7/13 ○ 5-4 アトレチコ</v>
      </c>
      <c r="AD23" s="14">
        <f>+L22</f>
        <v>1</v>
      </c>
      <c r="AE23" s="14">
        <f>+L23</f>
        <v>4</v>
      </c>
      <c r="AF23" s="14">
        <f>+J22</f>
        <v>1</v>
      </c>
      <c r="AG23" s="14">
        <f>+J23</f>
        <v>3</v>
      </c>
      <c r="AH23" s="121">
        <f t="shared" si="4"/>
        <v>40371</v>
      </c>
    </row>
    <row r="24" spans="1:34" ht="14.25" customHeight="1">
      <c r="A24" s="289"/>
      <c r="B24" s="328"/>
      <c r="C24" s="405"/>
      <c r="D24" s="297">
        <v>2</v>
      </c>
      <c r="E24" s="282">
        <v>0.45138888888888895</v>
      </c>
      <c r="F24" s="282">
        <v>0.513888888888889</v>
      </c>
      <c r="G24" s="86" t="s">
        <v>106</v>
      </c>
      <c r="H24" s="316" t="str">
        <f>VLOOKUP($G24,'参加チーム'!$B$5:$G$73,IF($N$2=1,4,5),FALSE)</f>
        <v>azul</v>
      </c>
      <c r="I24" s="304">
        <f>IF(J24&lt;&gt;"",J24+J25,"")</f>
        <v>9</v>
      </c>
      <c r="J24" s="116">
        <v>3</v>
      </c>
      <c r="K24" s="303" t="s">
        <v>86</v>
      </c>
      <c r="L24" s="116">
        <v>1</v>
      </c>
      <c r="M24" s="304">
        <f>IF(L24&lt;&gt;"",L24+L25,"")</f>
        <v>5</v>
      </c>
      <c r="N24" s="86" t="s">
        <v>105</v>
      </c>
      <c r="O24" s="316" t="str">
        <f>VLOOKUP($N24,'参加チーム'!$B$5:$G$73,IF($N$2=1,4,5),FALSE)</f>
        <v>Zoorasia</v>
      </c>
      <c r="P24" s="325" t="str">
        <f>+O24</f>
        <v>Zoorasia</v>
      </c>
      <c r="Q24" s="323"/>
      <c r="S24" s="20" t="str">
        <f>+"前"&amp;G24&amp;N24</f>
        <v>前南Ｃ南Ａ</v>
      </c>
      <c r="T24" s="16">
        <f>IF(I24&lt;&gt;"",I24,"")</f>
        <v>9</v>
      </c>
      <c r="U24" s="16">
        <f>IF(M24&lt;&gt;"",M24,"")</f>
        <v>5</v>
      </c>
      <c r="V24" s="21">
        <f>+B22</f>
        <v>40371</v>
      </c>
      <c r="X24" s="117">
        <f t="shared" si="0"/>
        <v>7</v>
      </c>
      <c r="Y24" s="117">
        <f t="shared" si="1"/>
        <v>13</v>
      </c>
      <c r="Z24" s="117" t="str">
        <f t="shared" si="2"/>
        <v> 7/13</v>
      </c>
      <c r="AA24" s="117" t="str">
        <f t="shared" si="3"/>
        <v>○</v>
      </c>
      <c r="AB24" s="14" t="str">
        <f>IF(T24&lt;&gt;"",H24,"")</f>
        <v>azul</v>
      </c>
      <c r="AC24" s="117" t="str">
        <f>+Z24&amp;" "&amp;AA24&amp;" "&amp;T24&amp;"-"&amp;U24&amp;" "&amp;O24</f>
        <v> 7/13 ○ 9-5 Zoorasia</v>
      </c>
      <c r="AD24" s="14">
        <f>+J24</f>
        <v>3</v>
      </c>
      <c r="AE24" s="14">
        <f>+J25</f>
        <v>6</v>
      </c>
      <c r="AF24" s="14">
        <f>+L24</f>
        <v>1</v>
      </c>
      <c r="AG24" s="14">
        <f>+L25</f>
        <v>4</v>
      </c>
      <c r="AH24" s="121">
        <f t="shared" si="4"/>
        <v>40371</v>
      </c>
    </row>
    <row r="25" spans="1:34" ht="14.25" customHeight="1">
      <c r="A25" s="289"/>
      <c r="B25" s="328"/>
      <c r="C25" s="327" t="s">
        <v>239</v>
      </c>
      <c r="D25" s="309"/>
      <c r="E25" s="281"/>
      <c r="F25" s="281"/>
      <c r="G25" s="85" t="str">
        <f>LEFT(VLOOKUP(G24,'参加チーム'!$B$5:$G$73,6,FALSE),2)</f>
        <v>宮城</v>
      </c>
      <c r="H25" s="317"/>
      <c r="I25" s="281"/>
      <c r="J25" s="116">
        <v>6</v>
      </c>
      <c r="K25" s="302"/>
      <c r="L25" s="116">
        <v>4</v>
      </c>
      <c r="M25" s="281"/>
      <c r="N25" s="85" t="str">
        <f>LEFT(VLOOKUP(N24,'参加チーム'!$B$5:$G$73,6,FALSE),2)</f>
        <v>宮城</v>
      </c>
      <c r="O25" s="317"/>
      <c r="P25" s="307"/>
      <c r="Q25" s="323"/>
      <c r="S25" s="20" t="str">
        <f>+"前"&amp;N24&amp;G24</f>
        <v>前南Ａ南Ｃ</v>
      </c>
      <c r="T25" s="16">
        <f>IF(M24&lt;&gt;"",M24,"")</f>
        <v>5</v>
      </c>
      <c r="U25" s="16">
        <f>IF(I24&lt;&gt;"",I24,"")</f>
        <v>9</v>
      </c>
      <c r="V25" s="21">
        <f>+B22</f>
        <v>40371</v>
      </c>
      <c r="X25" s="117">
        <f t="shared" si="0"/>
        <v>7</v>
      </c>
      <c r="Y25" s="117">
        <f t="shared" si="1"/>
        <v>13</v>
      </c>
      <c r="Z25" s="117" t="str">
        <f t="shared" si="2"/>
        <v> 7/13</v>
      </c>
      <c r="AA25" s="117" t="str">
        <f t="shared" si="3"/>
        <v>●</v>
      </c>
      <c r="AB25" s="14" t="str">
        <f>IF(T25&lt;&gt;"",O24,"")</f>
        <v>Zoorasia</v>
      </c>
      <c r="AC25" s="117" t="str">
        <f>+Z25&amp;" "&amp;AA25&amp;" "&amp;T25&amp;"-"&amp;U25&amp;" "&amp;H24</f>
        <v> 7/13 ● 5-9 azul</v>
      </c>
      <c r="AD25" s="14">
        <f>+L24</f>
        <v>1</v>
      </c>
      <c r="AE25" s="14">
        <f>+L25</f>
        <v>4</v>
      </c>
      <c r="AF25" s="14">
        <f>+J24</f>
        <v>3</v>
      </c>
      <c r="AG25" s="14">
        <f>+J25</f>
        <v>6</v>
      </c>
      <c r="AH25" s="121">
        <f t="shared" si="4"/>
        <v>40371</v>
      </c>
    </row>
    <row r="26" spans="1:34" ht="14.25" customHeight="1">
      <c r="A26" s="289"/>
      <c r="B26" s="328"/>
      <c r="C26" s="439"/>
      <c r="D26" s="297">
        <v>3</v>
      </c>
      <c r="E26" s="283">
        <v>0.5277777777777778</v>
      </c>
      <c r="F26" s="282">
        <v>0.5902777777777778</v>
      </c>
      <c r="G26" s="86" t="s">
        <v>127</v>
      </c>
      <c r="H26" s="316" t="str">
        <f>VLOOKUP($G26,'参加チーム'!$B$5:$G$73,IF($N$2=1,4,5),FALSE)</f>
        <v>カメレオン</v>
      </c>
      <c r="I26" s="304">
        <f>IF(J26&lt;&gt;"",J26+J27,"")</f>
        <v>2</v>
      </c>
      <c r="J26" s="116">
        <v>1</v>
      </c>
      <c r="K26" s="303" t="s">
        <v>86</v>
      </c>
      <c r="L26" s="116">
        <v>5</v>
      </c>
      <c r="M26" s="304">
        <f>IF(L26&lt;&gt;"",L26+L27,"")</f>
        <v>9</v>
      </c>
      <c r="N26" s="86" t="s">
        <v>126</v>
      </c>
      <c r="O26" s="316" t="str">
        <f>VLOOKUP($N26,'参加チーム'!$B$5:$G$73,IF($N$2=1,4,5),FALSE)</f>
        <v>ULTIMO</v>
      </c>
      <c r="P26" s="325" t="str">
        <f>+O26</f>
        <v>ULTIMO</v>
      </c>
      <c r="Q26" s="323"/>
      <c r="S26" s="20" t="str">
        <f>+"前"&amp;G26&amp;N26</f>
        <v>前南Ｅ南Ｄ</v>
      </c>
      <c r="T26" s="16">
        <f>IF(I26&lt;&gt;"",I26,"")</f>
        <v>2</v>
      </c>
      <c r="U26" s="16">
        <f>IF(M26&lt;&gt;"",M26,"")</f>
        <v>9</v>
      </c>
      <c r="V26" s="21">
        <f>+B22</f>
        <v>40371</v>
      </c>
      <c r="X26" s="117">
        <f t="shared" si="0"/>
        <v>7</v>
      </c>
      <c r="Y26" s="117">
        <f t="shared" si="1"/>
        <v>13</v>
      </c>
      <c r="Z26" s="117" t="str">
        <f t="shared" si="2"/>
        <v> 7/13</v>
      </c>
      <c r="AA26" s="117" t="str">
        <f t="shared" si="3"/>
        <v>●</v>
      </c>
      <c r="AB26" s="14" t="str">
        <f>IF(T26&lt;&gt;"",H26,"")</f>
        <v>カメレオン</v>
      </c>
      <c r="AC26" s="117" t="str">
        <f>+Z26&amp;" "&amp;AA26&amp;" "&amp;T26&amp;"-"&amp;U26&amp;" "&amp;O26</f>
        <v> 7/13 ● 2-9 ULTIMO</v>
      </c>
      <c r="AD26" s="14">
        <f>+J26</f>
        <v>1</v>
      </c>
      <c r="AE26" s="14">
        <f>+J27</f>
        <v>1</v>
      </c>
      <c r="AF26" s="14">
        <f>+L26</f>
        <v>5</v>
      </c>
      <c r="AG26" s="14">
        <f>+L27</f>
        <v>4</v>
      </c>
      <c r="AH26" s="121">
        <f t="shared" si="4"/>
        <v>40371</v>
      </c>
    </row>
    <row r="27" spans="1:34" ht="15" customHeight="1" thickBot="1">
      <c r="A27" s="290"/>
      <c r="B27" s="329"/>
      <c r="C27" s="440"/>
      <c r="D27" s="298"/>
      <c r="E27" s="285"/>
      <c r="F27" s="305"/>
      <c r="G27" s="124" t="str">
        <f>LEFT(VLOOKUP(G26,'参加チーム'!$B$5:$G$73,6,FALSE),2)</f>
        <v>山形</v>
      </c>
      <c r="H27" s="320"/>
      <c r="I27" s="305"/>
      <c r="J27" s="125">
        <v>1</v>
      </c>
      <c r="K27" s="321"/>
      <c r="L27" s="125">
        <v>4</v>
      </c>
      <c r="M27" s="305"/>
      <c r="N27" s="124" t="str">
        <f>LEFT(VLOOKUP(N26,'参加チーム'!$B$5:$G$73,6,FALSE),2)</f>
        <v>宮城</v>
      </c>
      <c r="O27" s="320"/>
      <c r="P27" s="315"/>
      <c r="Q27" s="324"/>
      <c r="S27" s="22" t="str">
        <f>+"前"&amp;N26&amp;G26</f>
        <v>前南Ｄ南Ｅ</v>
      </c>
      <c r="T27" s="23">
        <f>IF(M26&lt;&gt;"",M26,"")</f>
        <v>9</v>
      </c>
      <c r="U27" s="23">
        <f>IF(I26&lt;&gt;"",I26,"")</f>
        <v>2</v>
      </c>
      <c r="V27" s="24">
        <f>+B22</f>
        <v>40371</v>
      </c>
      <c r="X27" s="117">
        <f t="shared" si="0"/>
        <v>7</v>
      </c>
      <c r="Y27" s="117">
        <f t="shared" si="1"/>
        <v>13</v>
      </c>
      <c r="Z27" s="117" t="str">
        <f t="shared" si="2"/>
        <v> 7/13</v>
      </c>
      <c r="AA27" s="117" t="str">
        <f t="shared" si="3"/>
        <v>○</v>
      </c>
      <c r="AB27" s="14" t="str">
        <f>IF(T27&lt;&gt;"",O26,"")</f>
        <v>ULTIMO</v>
      </c>
      <c r="AC27" s="117" t="str">
        <f>+Z27&amp;" "&amp;AA27&amp;" "&amp;T27&amp;"-"&amp;U27&amp;" "&amp;H26</f>
        <v> 7/13 ○ 9-2 カメレオン</v>
      </c>
      <c r="AD27" s="14">
        <f>+L26</f>
        <v>5</v>
      </c>
      <c r="AE27" s="14">
        <f>+L27</f>
        <v>4</v>
      </c>
      <c r="AF27" s="14">
        <f>+J26</f>
        <v>1</v>
      </c>
      <c r="AG27" s="14">
        <f>+J27</f>
        <v>1</v>
      </c>
      <c r="AH27" s="121">
        <f t="shared" si="4"/>
        <v>40371</v>
      </c>
    </row>
    <row r="28" spans="1:34" ht="14.25" customHeight="1">
      <c r="A28" s="288">
        <v>5</v>
      </c>
      <c r="B28" s="398">
        <v>40378</v>
      </c>
      <c r="C28" s="404" t="s">
        <v>107</v>
      </c>
      <c r="D28" s="308">
        <v>1</v>
      </c>
      <c r="E28" s="280">
        <v>0.3958333333333333</v>
      </c>
      <c r="F28" s="280">
        <v>0.4375</v>
      </c>
      <c r="G28" s="84" t="s">
        <v>126</v>
      </c>
      <c r="H28" s="318" t="str">
        <f>VLOOKUP($G28,'参加チーム'!$B$5:$G$73,IF($N$2=1,4,5),FALSE)</f>
        <v>ULTIMO</v>
      </c>
      <c r="I28" s="300">
        <f>IF(J28&lt;&gt;"",J28+J29,"")</f>
        <v>9</v>
      </c>
      <c r="J28" s="123">
        <v>3</v>
      </c>
      <c r="K28" s="301" t="s">
        <v>86</v>
      </c>
      <c r="L28" s="123">
        <v>0</v>
      </c>
      <c r="M28" s="300">
        <f>IF(L28&lt;&gt;"",L28+L29,"")</f>
        <v>2</v>
      </c>
      <c r="N28" s="84" t="s">
        <v>128</v>
      </c>
      <c r="O28" s="318" t="str">
        <f>VLOOKUP($N28,'参加チーム'!$B$5:$G$73,IF($N$2=1,4,5),FALSE)</f>
        <v>Craque</v>
      </c>
      <c r="P28" s="326" t="str">
        <f>+O28</f>
        <v>Craque</v>
      </c>
      <c r="Q28" s="322" t="str">
        <f>+O32</f>
        <v>アトレチコ</v>
      </c>
      <c r="S28" s="17" t="str">
        <f>+"前"&amp;G28&amp;N28</f>
        <v>前南Ｄ南Ｆ</v>
      </c>
      <c r="T28" s="18">
        <f>IF(I28&lt;&gt;"",I28,"")</f>
        <v>9</v>
      </c>
      <c r="U28" s="18">
        <f>IF(M28&lt;&gt;"",M28,"")</f>
        <v>2</v>
      </c>
      <c r="V28" s="19">
        <f>+B28</f>
        <v>40378</v>
      </c>
      <c r="X28" s="117">
        <f t="shared" si="0"/>
        <v>7</v>
      </c>
      <c r="Y28" s="117">
        <f t="shared" si="1"/>
        <v>20</v>
      </c>
      <c r="Z28" s="117" t="str">
        <f t="shared" si="2"/>
        <v> 7/20</v>
      </c>
      <c r="AA28" s="117" t="str">
        <f t="shared" si="3"/>
        <v>○</v>
      </c>
      <c r="AB28" s="14" t="str">
        <f>IF(T28&lt;&gt;"",H28,"")</f>
        <v>ULTIMO</v>
      </c>
      <c r="AC28" s="117" t="str">
        <f>+Z28&amp;" "&amp;AA28&amp;" "&amp;T28&amp;"-"&amp;U28&amp;" "&amp;O28</f>
        <v> 7/20 ○ 9-2 Craque</v>
      </c>
      <c r="AD28" s="14">
        <f>+J28</f>
        <v>3</v>
      </c>
      <c r="AE28" s="14">
        <f>+J29</f>
        <v>6</v>
      </c>
      <c r="AF28" s="14">
        <f>+L28</f>
        <v>0</v>
      </c>
      <c r="AG28" s="14">
        <f>+L29</f>
        <v>2</v>
      </c>
      <c r="AH28" s="121">
        <f t="shared" si="4"/>
        <v>40378</v>
      </c>
    </row>
    <row r="29" spans="1:34" ht="14.25" customHeight="1">
      <c r="A29" s="289"/>
      <c r="B29" s="328"/>
      <c r="C29" s="405"/>
      <c r="D29" s="309"/>
      <c r="E29" s="281"/>
      <c r="F29" s="281"/>
      <c r="G29" s="85" t="str">
        <f>LEFT(VLOOKUP(G28,'参加チーム'!$B$5:$G$73,6,FALSE),2)</f>
        <v>宮城</v>
      </c>
      <c r="H29" s="317"/>
      <c r="I29" s="281"/>
      <c r="J29" s="116">
        <v>6</v>
      </c>
      <c r="K29" s="302"/>
      <c r="L29" s="116">
        <v>2</v>
      </c>
      <c r="M29" s="281"/>
      <c r="N29" s="85" t="str">
        <f>LEFT(VLOOKUP(N28,'参加チーム'!$B$5:$G$73,6,FALSE),2)</f>
        <v>山形</v>
      </c>
      <c r="O29" s="317"/>
      <c r="P29" s="307"/>
      <c r="Q29" s="323"/>
      <c r="S29" s="20" t="str">
        <f>+"前"&amp;N28&amp;G28</f>
        <v>前南Ｆ南Ｄ</v>
      </c>
      <c r="T29" s="16">
        <f>IF(M28&lt;&gt;"",M28,"")</f>
        <v>2</v>
      </c>
      <c r="U29" s="16">
        <f>IF(I28&lt;&gt;"",I28,"")</f>
        <v>9</v>
      </c>
      <c r="V29" s="21">
        <f>+B28</f>
        <v>40378</v>
      </c>
      <c r="X29" s="117">
        <f t="shared" si="0"/>
        <v>7</v>
      </c>
      <c r="Y29" s="117">
        <f t="shared" si="1"/>
        <v>20</v>
      </c>
      <c r="Z29" s="117" t="str">
        <f t="shared" si="2"/>
        <v> 7/20</v>
      </c>
      <c r="AA29" s="117" t="str">
        <f t="shared" si="3"/>
        <v>●</v>
      </c>
      <c r="AB29" s="14" t="str">
        <f>IF(T29&lt;&gt;"",O28,"")</f>
        <v>Craque</v>
      </c>
      <c r="AC29" s="117" t="str">
        <f>+Z29&amp;" "&amp;AA29&amp;" "&amp;T29&amp;"-"&amp;U29&amp;" "&amp;H28</f>
        <v> 7/20 ● 2-9 ULTIMO</v>
      </c>
      <c r="AD29" s="14">
        <f>+L28</f>
        <v>0</v>
      </c>
      <c r="AE29" s="14">
        <f>+L29</f>
        <v>2</v>
      </c>
      <c r="AF29" s="14">
        <f>+J28</f>
        <v>3</v>
      </c>
      <c r="AG29" s="14">
        <f>+J29</f>
        <v>6</v>
      </c>
      <c r="AH29" s="121">
        <f t="shared" si="4"/>
        <v>40378</v>
      </c>
    </row>
    <row r="30" spans="1:34" ht="14.25" customHeight="1">
      <c r="A30" s="289"/>
      <c r="B30" s="328"/>
      <c r="C30" s="405"/>
      <c r="D30" s="297">
        <v>2</v>
      </c>
      <c r="E30" s="282">
        <v>0.45138888888888895</v>
      </c>
      <c r="F30" s="282">
        <v>0.513888888888889</v>
      </c>
      <c r="G30" s="86" t="s">
        <v>127</v>
      </c>
      <c r="H30" s="316" t="str">
        <f>VLOOKUP($G30,'参加チーム'!$B$5:$G$73,IF($N$2=1,4,5),FALSE)</f>
        <v>カメレオン</v>
      </c>
      <c r="I30" s="304">
        <f>IF(J30&lt;&gt;"",J30+J31,"")</f>
        <v>4</v>
      </c>
      <c r="J30" s="116">
        <v>2</v>
      </c>
      <c r="K30" s="303" t="s">
        <v>86</v>
      </c>
      <c r="L30" s="116">
        <v>2</v>
      </c>
      <c r="M30" s="304">
        <f>IF(L30&lt;&gt;"",L30+L31,"")</f>
        <v>4</v>
      </c>
      <c r="N30" s="86" t="s">
        <v>106</v>
      </c>
      <c r="O30" s="316" t="str">
        <f>VLOOKUP($N30,'参加チーム'!$B$5:$G$73,IF($N$2=1,4,5),FALSE)</f>
        <v>azul</v>
      </c>
      <c r="P30" s="325" t="str">
        <f>+O30</f>
        <v>azul</v>
      </c>
      <c r="Q30" s="323"/>
      <c r="S30" s="20" t="str">
        <f>+"前"&amp;G30&amp;N30</f>
        <v>前南Ｅ南Ｃ</v>
      </c>
      <c r="T30" s="16">
        <f>IF(I30&lt;&gt;"",I30,"")</f>
        <v>4</v>
      </c>
      <c r="U30" s="16">
        <f>IF(M30&lt;&gt;"",M30,"")</f>
        <v>4</v>
      </c>
      <c r="V30" s="21">
        <f>+B28</f>
        <v>40378</v>
      </c>
      <c r="X30" s="117">
        <f t="shared" si="0"/>
        <v>7</v>
      </c>
      <c r="Y30" s="117">
        <f t="shared" si="1"/>
        <v>20</v>
      </c>
      <c r="Z30" s="117" t="str">
        <f t="shared" si="2"/>
        <v> 7/20</v>
      </c>
      <c r="AA30" s="117" t="str">
        <f t="shared" si="3"/>
        <v>△</v>
      </c>
      <c r="AB30" s="14" t="str">
        <f>IF(T30&lt;&gt;"",H30,"")</f>
        <v>カメレオン</v>
      </c>
      <c r="AC30" s="117" t="str">
        <f>+Z30&amp;" "&amp;AA30&amp;" "&amp;T30&amp;"-"&amp;U30&amp;" "&amp;O30</f>
        <v> 7/20 △ 4-4 azul</v>
      </c>
      <c r="AD30" s="14">
        <f>+J30</f>
        <v>2</v>
      </c>
      <c r="AE30" s="14">
        <f>+J31</f>
        <v>2</v>
      </c>
      <c r="AF30" s="14">
        <f>+L30</f>
        <v>2</v>
      </c>
      <c r="AG30" s="14">
        <f>+L31</f>
        <v>2</v>
      </c>
      <c r="AH30" s="121">
        <f t="shared" si="4"/>
        <v>40378</v>
      </c>
    </row>
    <row r="31" spans="1:34" ht="14.25" customHeight="1">
      <c r="A31" s="289"/>
      <c r="B31" s="328"/>
      <c r="C31" s="401" t="s">
        <v>125</v>
      </c>
      <c r="D31" s="309"/>
      <c r="E31" s="281"/>
      <c r="F31" s="281"/>
      <c r="G31" s="85" t="str">
        <f>LEFT(VLOOKUP(G30,'参加チーム'!$B$5:$G$73,6,FALSE),2)</f>
        <v>山形</v>
      </c>
      <c r="H31" s="317"/>
      <c r="I31" s="281"/>
      <c r="J31" s="116">
        <v>2</v>
      </c>
      <c r="K31" s="302"/>
      <c r="L31" s="116">
        <v>2</v>
      </c>
      <c r="M31" s="281"/>
      <c r="N31" s="85" t="str">
        <f>LEFT(VLOOKUP(N30,'参加チーム'!$B$5:$G$73,6,FALSE),2)</f>
        <v>宮城</v>
      </c>
      <c r="O31" s="317"/>
      <c r="P31" s="307"/>
      <c r="Q31" s="323"/>
      <c r="S31" s="20" t="str">
        <f>+"前"&amp;N30&amp;G30</f>
        <v>前南Ｃ南Ｅ</v>
      </c>
      <c r="T31" s="16">
        <f>IF(M30&lt;&gt;"",M30,"")</f>
        <v>4</v>
      </c>
      <c r="U31" s="16">
        <f>IF(I30&lt;&gt;"",I30,"")</f>
        <v>4</v>
      </c>
      <c r="V31" s="21">
        <f>+B28</f>
        <v>40378</v>
      </c>
      <c r="X31" s="117">
        <f t="shared" si="0"/>
        <v>7</v>
      </c>
      <c r="Y31" s="117">
        <f t="shared" si="1"/>
        <v>20</v>
      </c>
      <c r="Z31" s="117" t="str">
        <f t="shared" si="2"/>
        <v> 7/20</v>
      </c>
      <c r="AA31" s="117" t="str">
        <f t="shared" si="3"/>
        <v>△</v>
      </c>
      <c r="AB31" s="14" t="str">
        <f>IF(T31&lt;&gt;"",O30,"")</f>
        <v>azul</v>
      </c>
      <c r="AC31" s="117" t="str">
        <f>+Z31&amp;" "&amp;AA31&amp;" "&amp;T31&amp;"-"&amp;U31&amp;" "&amp;H30</f>
        <v> 7/20 △ 4-4 カメレオン</v>
      </c>
      <c r="AD31" s="14">
        <f>+L30</f>
        <v>2</v>
      </c>
      <c r="AE31" s="14">
        <f>+L31</f>
        <v>2</v>
      </c>
      <c r="AF31" s="14">
        <f>+J30</f>
        <v>2</v>
      </c>
      <c r="AG31" s="14">
        <f>+J31</f>
        <v>2</v>
      </c>
      <c r="AH31" s="121">
        <f t="shared" si="4"/>
        <v>40378</v>
      </c>
    </row>
    <row r="32" spans="1:34" ht="14.25" customHeight="1">
      <c r="A32" s="289"/>
      <c r="B32" s="328"/>
      <c r="C32" s="402"/>
      <c r="D32" s="297">
        <v>3</v>
      </c>
      <c r="E32" s="283">
        <v>0.5277777777777778</v>
      </c>
      <c r="F32" s="282">
        <v>0.5902777777777778</v>
      </c>
      <c r="G32" s="86" t="s">
        <v>105</v>
      </c>
      <c r="H32" s="316" t="str">
        <f>VLOOKUP($G32,'参加チーム'!$B$5:$G$73,IF($N$2=1,4,5),FALSE)</f>
        <v>Zoorasia</v>
      </c>
      <c r="I32" s="304">
        <f>IF(J32&lt;&gt;"",J32+J33,"")</f>
        <v>5</v>
      </c>
      <c r="J32" s="116">
        <v>3</v>
      </c>
      <c r="K32" s="303" t="s">
        <v>86</v>
      </c>
      <c r="L32" s="116">
        <v>0</v>
      </c>
      <c r="M32" s="304">
        <f>IF(L32&lt;&gt;"",L32+L33,"")</f>
        <v>0</v>
      </c>
      <c r="N32" s="86" t="s">
        <v>129</v>
      </c>
      <c r="O32" s="316" t="str">
        <f>VLOOKUP($N32,'参加チーム'!$B$5:$G$73,IF($N$2=1,4,5),FALSE)</f>
        <v>アトレチコ</v>
      </c>
      <c r="P32" s="325" t="str">
        <f>+O32</f>
        <v>アトレチコ</v>
      </c>
      <c r="Q32" s="323"/>
      <c r="S32" s="20" t="str">
        <f>+"前"&amp;G32&amp;N32</f>
        <v>前南Ａ南Ｂ</v>
      </c>
      <c r="T32" s="16">
        <f>IF(I32&lt;&gt;"",I32,"")</f>
        <v>5</v>
      </c>
      <c r="U32" s="16">
        <f>IF(M32&lt;&gt;"",M32,"")</f>
        <v>0</v>
      </c>
      <c r="V32" s="21">
        <f>+B28</f>
        <v>40378</v>
      </c>
      <c r="X32" s="117">
        <f t="shared" si="0"/>
        <v>7</v>
      </c>
      <c r="Y32" s="117">
        <f t="shared" si="1"/>
        <v>20</v>
      </c>
      <c r="Z32" s="117" t="str">
        <f t="shared" si="2"/>
        <v> 7/20</v>
      </c>
      <c r="AA32" s="117" t="str">
        <f t="shared" si="3"/>
        <v>○</v>
      </c>
      <c r="AB32" s="14" t="str">
        <f>IF(T32&lt;&gt;"",H32,"")</f>
        <v>Zoorasia</v>
      </c>
      <c r="AC32" s="117" t="str">
        <f>+Z32&amp;" "&amp;AA32&amp;" "&amp;T32&amp;"-"&amp;U32&amp;" "&amp;O32</f>
        <v> 7/20 ○ 5-0 アトレチコ</v>
      </c>
      <c r="AD32" s="14">
        <f>+J32</f>
        <v>3</v>
      </c>
      <c r="AE32" s="14">
        <f>+J33</f>
        <v>2</v>
      </c>
      <c r="AF32" s="14">
        <f>+L32</f>
        <v>0</v>
      </c>
      <c r="AG32" s="14">
        <f>+L33</f>
        <v>0</v>
      </c>
      <c r="AH32" s="121">
        <f t="shared" si="4"/>
        <v>40378</v>
      </c>
    </row>
    <row r="33" spans="1:34" ht="15" customHeight="1" thickBot="1">
      <c r="A33" s="290"/>
      <c r="B33" s="329"/>
      <c r="C33" s="403"/>
      <c r="D33" s="298"/>
      <c r="E33" s="285"/>
      <c r="F33" s="305"/>
      <c r="G33" s="124" t="str">
        <f>LEFT(VLOOKUP(G32,'参加チーム'!$B$5:$G$73,6,FALSE),2)</f>
        <v>宮城</v>
      </c>
      <c r="H33" s="320"/>
      <c r="I33" s="305"/>
      <c r="J33" s="125">
        <v>2</v>
      </c>
      <c r="K33" s="321"/>
      <c r="L33" s="125">
        <v>0</v>
      </c>
      <c r="M33" s="305"/>
      <c r="N33" s="124" t="str">
        <f>LEFT(VLOOKUP(N32,'参加チーム'!$B$5:$G$73,6,FALSE),2)</f>
        <v>福島</v>
      </c>
      <c r="O33" s="320"/>
      <c r="P33" s="315"/>
      <c r="Q33" s="324"/>
      <c r="S33" s="22" t="str">
        <f>+"前"&amp;N32&amp;G32</f>
        <v>前南Ｂ南Ａ</v>
      </c>
      <c r="T33" s="23">
        <f>IF(M32&lt;&gt;"",M32,"")</f>
        <v>0</v>
      </c>
      <c r="U33" s="23">
        <f>IF(I32&lt;&gt;"",I32,"")</f>
        <v>5</v>
      </c>
      <c r="V33" s="24">
        <f>+B28</f>
        <v>40378</v>
      </c>
      <c r="X33" s="117">
        <f t="shared" si="0"/>
        <v>7</v>
      </c>
      <c r="Y33" s="117">
        <f t="shared" si="1"/>
        <v>20</v>
      </c>
      <c r="Z33" s="117" t="str">
        <f t="shared" si="2"/>
        <v> 7/20</v>
      </c>
      <c r="AA33" s="117" t="str">
        <f t="shared" si="3"/>
        <v>●</v>
      </c>
      <c r="AB33" s="14" t="str">
        <f>IF(T33&lt;&gt;"",O32,"")</f>
        <v>アトレチコ</v>
      </c>
      <c r="AC33" s="117" t="str">
        <f>+Z33&amp;" "&amp;AA33&amp;" "&amp;T33&amp;"-"&amp;U33&amp;" "&amp;H32</f>
        <v> 7/20 ● 0-5 Zoorasia</v>
      </c>
      <c r="AD33" s="14">
        <f>+L32</f>
        <v>0</v>
      </c>
      <c r="AE33" s="14">
        <f>+L33</f>
        <v>0</v>
      </c>
      <c r="AF33" s="14">
        <f>+J32</f>
        <v>3</v>
      </c>
      <c r="AG33" s="14">
        <f>+J33</f>
        <v>2</v>
      </c>
      <c r="AH33" s="121">
        <f t="shared" si="4"/>
        <v>40378</v>
      </c>
    </row>
    <row r="34" spans="1:29" ht="14.2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X34" s="117"/>
      <c r="Y34" s="117"/>
      <c r="Z34" s="117"/>
      <c r="AA34" s="117"/>
      <c r="AC34" s="117"/>
    </row>
    <row r="35" spans="1:29" ht="28.5" customHeight="1" thickBot="1">
      <c r="A35" s="33" t="s">
        <v>100</v>
      </c>
      <c r="E35" s="163">
        <v>0.0625</v>
      </c>
      <c r="S35" s="15"/>
      <c r="T35" s="16"/>
      <c r="X35" s="117"/>
      <c r="Y35" s="117"/>
      <c r="Z35" s="117"/>
      <c r="AA35" s="117"/>
      <c r="AC35" s="117"/>
    </row>
    <row r="36" spans="1:29" ht="25.5" customHeight="1" thickBot="1">
      <c r="A36" s="93"/>
      <c r="B36" s="26" t="s">
        <v>52</v>
      </c>
      <c r="C36" s="26" t="s">
        <v>53</v>
      </c>
      <c r="D36" s="26" t="s">
        <v>101</v>
      </c>
      <c r="E36" s="26" t="s">
        <v>310</v>
      </c>
      <c r="F36" s="26" t="s">
        <v>54</v>
      </c>
      <c r="G36" s="27"/>
      <c r="H36" s="28" t="s">
        <v>102</v>
      </c>
      <c r="I36" s="299" t="s">
        <v>55</v>
      </c>
      <c r="J36" s="299"/>
      <c r="K36" s="299"/>
      <c r="L36" s="299"/>
      <c r="M36" s="299"/>
      <c r="N36" s="27"/>
      <c r="O36" s="28" t="s">
        <v>103</v>
      </c>
      <c r="P36" s="26" t="s">
        <v>118</v>
      </c>
      <c r="Q36" s="29" t="s">
        <v>51</v>
      </c>
      <c r="S36" s="16"/>
      <c r="T36" s="16"/>
      <c r="X36" s="117"/>
      <c r="Y36" s="117"/>
      <c r="Z36" s="117"/>
      <c r="AA36" s="117"/>
      <c r="AC36" s="117"/>
    </row>
    <row r="37" spans="1:34" ht="14.25" customHeight="1">
      <c r="A37" s="288">
        <v>6</v>
      </c>
      <c r="B37" s="398">
        <v>40427</v>
      </c>
      <c r="C37" s="404" t="s">
        <v>59</v>
      </c>
      <c r="D37" s="308">
        <v>1</v>
      </c>
      <c r="E37" s="280">
        <v>0.3958333333333333</v>
      </c>
      <c r="F37" s="280">
        <v>0.4375</v>
      </c>
      <c r="G37" s="84" t="s">
        <v>49</v>
      </c>
      <c r="H37" s="318" t="str">
        <f>VLOOKUP($G37,'参加チーム'!$B$5:$G$73,IF($N$2=1,4,5),FALSE)</f>
        <v>Zoorasia</v>
      </c>
      <c r="I37" s="300">
        <f>IF(J37&lt;&gt;"",J37+J38,"")</f>
      </c>
      <c r="J37" s="123"/>
      <c r="K37" s="301" t="s">
        <v>86</v>
      </c>
      <c r="L37" s="123"/>
      <c r="M37" s="300">
        <f>IF(L37&lt;&gt;"",L37+L38,"")</f>
      </c>
      <c r="N37" s="84" t="s">
        <v>7</v>
      </c>
      <c r="O37" s="318" t="str">
        <f>VLOOKUP($N37,'参加チーム'!$B$5:$G$73,IF($N$2=1,4,5),FALSE)</f>
        <v>Craque</v>
      </c>
      <c r="P37" s="326" t="str">
        <f>+O37</f>
        <v>Craque</v>
      </c>
      <c r="Q37" s="322" t="str">
        <f>+O37</f>
        <v>Craque</v>
      </c>
      <c r="S37" s="17" t="str">
        <f>+"後"&amp;G37&amp;N37</f>
        <v>後南Ａ南Ｆ</v>
      </c>
      <c r="T37" s="18">
        <f>IF(I37&lt;&gt;"",I37,"")</f>
      </c>
      <c r="U37" s="18">
        <f>IF(M37&lt;&gt;"",M37,"")</f>
      </c>
      <c r="V37" s="19">
        <f>+B37</f>
        <v>40427</v>
      </c>
      <c r="X37" s="117">
        <f aca="true" t="shared" si="5" ref="X37:X66">MONTH(V37)</f>
        <v>9</v>
      </c>
      <c r="Y37" s="117">
        <f aca="true" t="shared" si="6" ref="Y37:Y66">DAY(V37)</f>
        <v>7</v>
      </c>
      <c r="Z37" s="117" t="str">
        <f aca="true" t="shared" si="7" ref="Z37:Z66">IF(LEN(X37)=1," ","")&amp;X37&amp;"/"&amp;IF(LEN(Y37)=1," ","")&amp;Y37</f>
        <v> 9/ 7</v>
      </c>
      <c r="AA37" s="117" t="str">
        <f aca="true" t="shared" si="8" ref="AA37:AA66">IF(T37&gt;U37,"○",IF(T37&lt;U37,"●","△"))</f>
        <v>△</v>
      </c>
      <c r="AB37" s="14">
        <f>IF(T37&lt;&gt;"",H37,"")</f>
      </c>
      <c r="AC37" s="117" t="str">
        <f>+Z37&amp;" "&amp;AA37&amp;" "&amp;T37&amp;"-"&amp;U37&amp;" "&amp;O37</f>
        <v> 9/ 7 △ - Craque</v>
      </c>
      <c r="AD37" s="14">
        <f>+J37</f>
        <v>0</v>
      </c>
      <c r="AE37" s="14">
        <f>+J38</f>
        <v>0</v>
      </c>
      <c r="AF37" s="14">
        <f>+L37</f>
        <v>0</v>
      </c>
      <c r="AG37" s="14">
        <f>+L38</f>
        <v>0</v>
      </c>
      <c r="AH37" s="121">
        <f aca="true" t="shared" si="9" ref="AH37:AH66">+V37</f>
        <v>40427</v>
      </c>
    </row>
    <row r="38" spans="1:34" ht="14.25" customHeight="1">
      <c r="A38" s="289"/>
      <c r="B38" s="328"/>
      <c r="C38" s="405"/>
      <c r="D38" s="309"/>
      <c r="E38" s="281"/>
      <c r="F38" s="281"/>
      <c r="G38" s="85" t="str">
        <f>LEFT(VLOOKUP(G37,'参加チーム'!$B$5:$G$73,6,FALSE),2)</f>
        <v>宮城</v>
      </c>
      <c r="H38" s="317"/>
      <c r="I38" s="281"/>
      <c r="J38" s="116"/>
      <c r="K38" s="302"/>
      <c r="L38" s="116"/>
      <c r="M38" s="281"/>
      <c r="N38" s="85" t="str">
        <f>LEFT(VLOOKUP(N37,'参加チーム'!$B$5:$G$73,6,FALSE),2)</f>
        <v>山形</v>
      </c>
      <c r="O38" s="317"/>
      <c r="P38" s="307"/>
      <c r="Q38" s="323"/>
      <c r="S38" s="20" t="str">
        <f>+"後"&amp;N37&amp;G37</f>
        <v>後南Ｆ南Ａ</v>
      </c>
      <c r="T38" s="16">
        <f>IF(M37&lt;&gt;"",M37,"")</f>
      </c>
      <c r="U38" s="16">
        <f>IF(I37&lt;&gt;"",I37,"")</f>
      </c>
      <c r="V38" s="21">
        <f>+B37</f>
        <v>40427</v>
      </c>
      <c r="X38" s="117">
        <f t="shared" si="5"/>
        <v>9</v>
      </c>
      <c r="Y38" s="117">
        <f t="shared" si="6"/>
        <v>7</v>
      </c>
      <c r="Z38" s="117" t="str">
        <f t="shared" si="7"/>
        <v> 9/ 7</v>
      </c>
      <c r="AA38" s="117" t="str">
        <f t="shared" si="8"/>
        <v>△</v>
      </c>
      <c r="AB38" s="14">
        <f>IF(T38&lt;&gt;"",O37,"")</f>
      </c>
      <c r="AC38" s="117" t="str">
        <f>+Z38&amp;" "&amp;AA38&amp;" "&amp;T38&amp;"-"&amp;U38&amp;" "&amp;H37</f>
        <v> 9/ 7 △ - Zoorasia</v>
      </c>
      <c r="AD38" s="14">
        <f>+L37</f>
        <v>0</v>
      </c>
      <c r="AE38" s="14">
        <f>+L38</f>
        <v>0</v>
      </c>
      <c r="AF38" s="14">
        <f>+J37</f>
        <v>0</v>
      </c>
      <c r="AG38" s="14">
        <f>+J38</f>
        <v>0</v>
      </c>
      <c r="AH38" s="121">
        <f t="shared" si="9"/>
        <v>40427</v>
      </c>
    </row>
    <row r="39" spans="1:34" ht="14.25" customHeight="1">
      <c r="A39" s="289"/>
      <c r="B39" s="328"/>
      <c r="C39" s="405"/>
      <c r="D39" s="297">
        <v>2</v>
      </c>
      <c r="E39" s="282">
        <v>0.45138888888888895</v>
      </c>
      <c r="F39" s="282">
        <v>0.513888888888889</v>
      </c>
      <c r="G39" s="86" t="s">
        <v>3</v>
      </c>
      <c r="H39" s="316" t="str">
        <f>VLOOKUP($G39,'参加チーム'!$B$5:$G$73,IF($N$2=1,4,5),FALSE)</f>
        <v>azul</v>
      </c>
      <c r="I39" s="304">
        <f>IF(J39&lt;&gt;"",J39+J40,"")</f>
      </c>
      <c r="J39" s="116"/>
      <c r="K39" s="303" t="s">
        <v>86</v>
      </c>
      <c r="L39" s="116"/>
      <c r="M39" s="304">
        <f>IF(L39&lt;&gt;"",L39+L40,"")</f>
      </c>
      <c r="N39" s="86" t="s">
        <v>2</v>
      </c>
      <c r="O39" s="316" t="str">
        <f>VLOOKUP($N39,'参加チーム'!$B$5:$G$73,IF($N$2=1,4,5),FALSE)</f>
        <v>アトレチコ</v>
      </c>
      <c r="P39" s="325" t="str">
        <f>+O39</f>
        <v>アトレチコ</v>
      </c>
      <c r="Q39" s="323"/>
      <c r="S39" s="20" t="str">
        <f>+"後"&amp;G39&amp;N39</f>
        <v>後南Ｃ南Ｂ</v>
      </c>
      <c r="T39" s="16">
        <f>+I39</f>
      </c>
      <c r="U39" s="16">
        <f>+M39</f>
      </c>
      <c r="V39" s="21">
        <f>+B37</f>
        <v>40427</v>
      </c>
      <c r="X39" s="117">
        <f t="shared" si="5"/>
        <v>9</v>
      </c>
      <c r="Y39" s="117">
        <f t="shared" si="6"/>
        <v>7</v>
      </c>
      <c r="Z39" s="117" t="str">
        <f t="shared" si="7"/>
        <v> 9/ 7</v>
      </c>
      <c r="AA39" s="117" t="str">
        <f t="shared" si="8"/>
        <v>△</v>
      </c>
      <c r="AB39" s="14">
        <f>IF(T39&lt;&gt;"",H39,"")</f>
      </c>
      <c r="AC39" s="117" t="str">
        <f>+Z39&amp;" "&amp;AA39&amp;" "&amp;T39&amp;"-"&amp;U39&amp;" "&amp;O39</f>
        <v> 9/ 7 △ - アトレチコ</v>
      </c>
      <c r="AD39" s="14">
        <f>+J39</f>
        <v>0</v>
      </c>
      <c r="AE39" s="14">
        <f>+J40</f>
        <v>0</v>
      </c>
      <c r="AF39" s="14">
        <f>+L39</f>
        <v>0</v>
      </c>
      <c r="AG39" s="14">
        <f>+L40</f>
        <v>0</v>
      </c>
      <c r="AH39" s="121">
        <f t="shared" si="9"/>
        <v>40427</v>
      </c>
    </row>
    <row r="40" spans="1:34" ht="14.25" customHeight="1">
      <c r="A40" s="289"/>
      <c r="B40" s="328"/>
      <c r="C40" s="327" t="s">
        <v>239</v>
      </c>
      <c r="D40" s="309"/>
      <c r="E40" s="281"/>
      <c r="F40" s="281"/>
      <c r="G40" s="85" t="str">
        <f>LEFT(VLOOKUP(G39,'参加チーム'!$B$5:$G$73,6,FALSE),2)</f>
        <v>宮城</v>
      </c>
      <c r="H40" s="317"/>
      <c r="I40" s="281"/>
      <c r="J40" s="116"/>
      <c r="K40" s="302"/>
      <c r="L40" s="116"/>
      <c r="M40" s="281"/>
      <c r="N40" s="85" t="str">
        <f>LEFT(VLOOKUP(N39,'参加チーム'!$B$5:$G$73,6,FALSE),2)</f>
        <v>福島</v>
      </c>
      <c r="O40" s="317"/>
      <c r="P40" s="307"/>
      <c r="Q40" s="323"/>
      <c r="S40" s="20" t="str">
        <f>+"後"&amp;N39&amp;G39</f>
        <v>後南Ｂ南Ｃ</v>
      </c>
      <c r="T40" s="16">
        <f>+M39</f>
      </c>
      <c r="U40" s="16">
        <f>+I39</f>
      </c>
      <c r="V40" s="21">
        <f>+B37</f>
        <v>40427</v>
      </c>
      <c r="X40" s="117">
        <f t="shared" si="5"/>
        <v>9</v>
      </c>
      <c r="Y40" s="117">
        <f t="shared" si="6"/>
        <v>7</v>
      </c>
      <c r="Z40" s="117" t="str">
        <f t="shared" si="7"/>
        <v> 9/ 7</v>
      </c>
      <c r="AA40" s="117" t="str">
        <f t="shared" si="8"/>
        <v>△</v>
      </c>
      <c r="AB40" s="14">
        <f>IF(T40&lt;&gt;"",O39,"")</f>
      </c>
      <c r="AC40" s="117" t="str">
        <f>+Z40&amp;" "&amp;AA40&amp;" "&amp;T40&amp;"-"&amp;U40&amp;" "&amp;H39</f>
        <v> 9/ 7 △ - azul</v>
      </c>
      <c r="AD40" s="14">
        <f>+L39</f>
        <v>0</v>
      </c>
      <c r="AE40" s="14">
        <f>+L40</f>
        <v>0</v>
      </c>
      <c r="AF40" s="14">
        <f>+J39</f>
        <v>0</v>
      </c>
      <c r="AG40" s="14">
        <f>+J40</f>
        <v>0</v>
      </c>
      <c r="AH40" s="121">
        <f t="shared" si="9"/>
        <v>40427</v>
      </c>
    </row>
    <row r="41" spans="1:34" ht="14.25">
      <c r="A41" s="289"/>
      <c r="B41" s="328"/>
      <c r="C41" s="439"/>
      <c r="D41" s="297">
        <v>3</v>
      </c>
      <c r="E41" s="283">
        <v>0.5277777777777778</v>
      </c>
      <c r="F41" s="282">
        <v>0.5902777777777778</v>
      </c>
      <c r="G41" s="86" t="s">
        <v>4</v>
      </c>
      <c r="H41" s="316" t="str">
        <f>VLOOKUP($G41,'参加チーム'!$B$5:$G$73,IF($N$2=1,4,5),FALSE)</f>
        <v>ULTIMO</v>
      </c>
      <c r="I41" s="304">
        <f>IF(J41&lt;&gt;"",J41+J42,"")</f>
      </c>
      <c r="J41" s="116"/>
      <c r="K41" s="303" t="s">
        <v>86</v>
      </c>
      <c r="L41" s="116"/>
      <c r="M41" s="304">
        <f>IF(L41&lt;&gt;"",L41+L42,"")</f>
      </c>
      <c r="N41" s="86" t="s">
        <v>6</v>
      </c>
      <c r="O41" s="316" t="str">
        <f>VLOOKUP($N41,'参加チーム'!$B$5:$G$73,IF($N$2=1,4,5),FALSE)</f>
        <v>カメレオン</v>
      </c>
      <c r="P41" s="325" t="str">
        <f>+O41</f>
        <v>カメレオン</v>
      </c>
      <c r="Q41" s="323"/>
      <c r="S41" s="20" t="str">
        <f>+"後"&amp;G41&amp;N41</f>
        <v>後南Ｄ南Ｅ</v>
      </c>
      <c r="T41" s="16">
        <f>+I41</f>
      </c>
      <c r="U41" s="16">
        <f>+M41</f>
      </c>
      <c r="V41" s="21">
        <f>+B37</f>
        <v>40427</v>
      </c>
      <c r="X41" s="117">
        <f t="shared" si="5"/>
        <v>9</v>
      </c>
      <c r="Y41" s="117">
        <f t="shared" si="6"/>
        <v>7</v>
      </c>
      <c r="Z41" s="117" t="str">
        <f t="shared" si="7"/>
        <v> 9/ 7</v>
      </c>
      <c r="AA41" s="117" t="str">
        <f t="shared" si="8"/>
        <v>△</v>
      </c>
      <c r="AB41" s="14">
        <f>IF(T41&lt;&gt;"",H41,"")</f>
      </c>
      <c r="AC41" s="117" t="str">
        <f>+Z41&amp;" "&amp;AA41&amp;" "&amp;T41&amp;"-"&amp;U41&amp;" "&amp;O41</f>
        <v> 9/ 7 △ - カメレオン</v>
      </c>
      <c r="AD41" s="14">
        <f>+J41</f>
        <v>0</v>
      </c>
      <c r="AE41" s="14">
        <f>+J42</f>
        <v>0</v>
      </c>
      <c r="AF41" s="14">
        <f>+L41</f>
        <v>0</v>
      </c>
      <c r="AG41" s="14">
        <f>+L42</f>
        <v>0</v>
      </c>
      <c r="AH41" s="121">
        <f t="shared" si="9"/>
        <v>40427</v>
      </c>
    </row>
    <row r="42" spans="1:34" ht="15" thickBot="1">
      <c r="A42" s="289"/>
      <c r="B42" s="328"/>
      <c r="C42" s="439"/>
      <c r="D42" s="411"/>
      <c r="E42" s="285"/>
      <c r="F42" s="408"/>
      <c r="G42" s="149" t="str">
        <f>LEFT(VLOOKUP(G41,'参加チーム'!$B$5:$G$73,6,FALSE),2)</f>
        <v>宮城</v>
      </c>
      <c r="H42" s="320"/>
      <c r="I42" s="408"/>
      <c r="J42" s="150"/>
      <c r="K42" s="410"/>
      <c r="L42" s="150"/>
      <c r="M42" s="408"/>
      <c r="N42" s="149" t="str">
        <f>LEFT(VLOOKUP(N41,'参加チーム'!$B$5:$G$73,6,FALSE),2)</f>
        <v>山形</v>
      </c>
      <c r="O42" s="320"/>
      <c r="P42" s="409"/>
      <c r="Q42" s="323"/>
      <c r="S42" s="22" t="str">
        <f>+"後"&amp;N41&amp;G41</f>
        <v>後南Ｅ南Ｄ</v>
      </c>
      <c r="T42" s="23">
        <f>+M41</f>
      </c>
      <c r="U42" s="23">
        <f>+I41</f>
      </c>
      <c r="V42" s="24">
        <f>+B37</f>
        <v>40427</v>
      </c>
      <c r="X42" s="117">
        <f t="shared" si="5"/>
        <v>9</v>
      </c>
      <c r="Y42" s="117">
        <f t="shared" si="6"/>
        <v>7</v>
      </c>
      <c r="Z42" s="117" t="str">
        <f t="shared" si="7"/>
        <v> 9/ 7</v>
      </c>
      <c r="AA42" s="117" t="str">
        <f t="shared" si="8"/>
        <v>△</v>
      </c>
      <c r="AB42" s="14">
        <f>IF(T42&lt;&gt;"",O41,"")</f>
      </c>
      <c r="AC42" s="117" t="str">
        <f>+Z42&amp;" "&amp;AA42&amp;" "&amp;T42&amp;"-"&amp;U42&amp;" "&amp;H41</f>
        <v> 9/ 7 △ - ULTIMO</v>
      </c>
      <c r="AD42" s="14">
        <f>+L41</f>
        <v>0</v>
      </c>
      <c r="AE42" s="14">
        <f>+L42</f>
        <v>0</v>
      </c>
      <c r="AF42" s="14">
        <f>+J41</f>
        <v>0</v>
      </c>
      <c r="AG42" s="14">
        <f>+J42</f>
        <v>0</v>
      </c>
      <c r="AH42" s="121">
        <f t="shared" si="9"/>
        <v>40427</v>
      </c>
    </row>
    <row r="43" spans="1:34" ht="14.25" customHeight="1">
      <c r="A43" s="412">
        <v>7</v>
      </c>
      <c r="B43" s="415">
        <v>40441</v>
      </c>
      <c r="C43" s="404" t="s">
        <v>59</v>
      </c>
      <c r="D43" s="416">
        <v>1</v>
      </c>
      <c r="E43" s="280">
        <v>0.3958333333333333</v>
      </c>
      <c r="F43" s="421">
        <v>0.4375</v>
      </c>
      <c r="G43" s="86" t="s">
        <v>6</v>
      </c>
      <c r="H43" s="318" t="str">
        <f>VLOOKUP($G43,'参加チーム'!$B$5:$G$73,IF($N$2=1,4,5),FALSE)</f>
        <v>カメレオン</v>
      </c>
      <c r="I43" s="416">
        <f>IF(J43&lt;&gt;"",J43+J44,"")</f>
      </c>
      <c r="J43" s="123"/>
      <c r="K43" s="425" t="s">
        <v>86</v>
      </c>
      <c r="L43" s="123"/>
      <c r="M43" s="416">
        <f>IF(L43&lt;&gt;"",L43+L44,"")</f>
      </c>
      <c r="N43" s="84" t="s">
        <v>49</v>
      </c>
      <c r="O43" s="318" t="str">
        <f>VLOOKUP($N43,'参加チーム'!$B$5:$G$73,IF($N$2=1,4,5),FALSE)</f>
        <v>Zoorasia</v>
      </c>
      <c r="P43" s="429" t="str">
        <f>+O43</f>
        <v>Zoorasia</v>
      </c>
      <c r="Q43" s="422" t="str">
        <f>+H43</f>
        <v>カメレオン</v>
      </c>
      <c r="S43" s="17" t="str">
        <f>+"後"&amp;G43&amp;N43</f>
        <v>後南Ｅ南Ａ</v>
      </c>
      <c r="T43" s="18">
        <f>IF(I43&lt;&gt;"",I43,"")</f>
      </c>
      <c r="U43" s="18">
        <f>IF(M43&lt;&gt;"",M43,"")</f>
      </c>
      <c r="V43" s="19">
        <f>+B43</f>
        <v>40441</v>
      </c>
      <c r="X43" s="117">
        <f t="shared" si="5"/>
        <v>9</v>
      </c>
      <c r="Y43" s="117">
        <f t="shared" si="6"/>
        <v>21</v>
      </c>
      <c r="Z43" s="117" t="str">
        <f t="shared" si="7"/>
        <v> 9/21</v>
      </c>
      <c r="AA43" s="117" t="str">
        <f t="shared" si="8"/>
        <v>△</v>
      </c>
      <c r="AB43" s="14">
        <f>IF(T43&lt;&gt;"",H43,"")</f>
      </c>
      <c r="AC43" s="117" t="str">
        <f>+Z43&amp;" "&amp;AA43&amp;" "&amp;T43&amp;"-"&amp;U43&amp;" "&amp;O43</f>
        <v> 9/21 △ - Zoorasia</v>
      </c>
      <c r="AD43" s="14">
        <f>+J43</f>
        <v>0</v>
      </c>
      <c r="AE43" s="14">
        <f>+J44</f>
        <v>0</v>
      </c>
      <c r="AF43" s="14">
        <f>+L43</f>
        <v>0</v>
      </c>
      <c r="AG43" s="14">
        <f>+L44</f>
        <v>0</v>
      </c>
      <c r="AH43" s="121">
        <f t="shared" si="9"/>
        <v>40441</v>
      </c>
    </row>
    <row r="44" spans="1:34" ht="14.25" customHeight="1">
      <c r="A44" s="413"/>
      <c r="B44" s="295"/>
      <c r="C44" s="405"/>
      <c r="D44" s="417"/>
      <c r="E44" s="281"/>
      <c r="F44" s="417"/>
      <c r="G44" s="85" t="str">
        <f>LEFT(VLOOKUP(G43,'参加チーム'!$B$5:$G$73,6,FALSE),2)</f>
        <v>山形</v>
      </c>
      <c r="H44" s="317"/>
      <c r="I44" s="417"/>
      <c r="J44" s="116"/>
      <c r="K44" s="426"/>
      <c r="L44" s="116"/>
      <c r="M44" s="417"/>
      <c r="N44" s="85" t="str">
        <f>LEFT(VLOOKUP(N43,'参加チーム'!$B$5:$G$73,6,FALSE),2)</f>
        <v>宮城</v>
      </c>
      <c r="O44" s="317"/>
      <c r="P44" s="427"/>
      <c r="Q44" s="423"/>
      <c r="S44" s="20" t="str">
        <f>+"後"&amp;N43&amp;G43</f>
        <v>後南Ａ南Ｅ</v>
      </c>
      <c r="T44" s="16">
        <f>IF(M43&lt;&gt;"",M43,"")</f>
      </c>
      <c r="U44" s="16">
        <f>IF(I43&lt;&gt;"",I43,"")</f>
      </c>
      <c r="V44" s="21">
        <f>+B43</f>
        <v>40441</v>
      </c>
      <c r="X44" s="117">
        <f t="shared" si="5"/>
        <v>9</v>
      </c>
      <c r="Y44" s="117">
        <f t="shared" si="6"/>
        <v>21</v>
      </c>
      <c r="Z44" s="117" t="str">
        <f t="shared" si="7"/>
        <v> 9/21</v>
      </c>
      <c r="AA44" s="117" t="str">
        <f t="shared" si="8"/>
        <v>△</v>
      </c>
      <c r="AB44" s="14">
        <f>IF(T44&lt;&gt;"",O43,"")</f>
      </c>
      <c r="AC44" s="117" t="str">
        <f>+Z44&amp;" "&amp;AA44&amp;" "&amp;T44&amp;"-"&amp;U44&amp;" "&amp;H43</f>
        <v> 9/21 △ - カメレオン</v>
      </c>
      <c r="AD44" s="14">
        <f>+L43</f>
        <v>0</v>
      </c>
      <c r="AE44" s="14">
        <f>+L44</f>
        <v>0</v>
      </c>
      <c r="AF44" s="14">
        <f>+J43</f>
        <v>0</v>
      </c>
      <c r="AG44" s="14">
        <f>+J44</f>
        <v>0</v>
      </c>
      <c r="AH44" s="121">
        <f t="shared" si="9"/>
        <v>40441</v>
      </c>
    </row>
    <row r="45" spans="1:34" ht="14.25" customHeight="1">
      <c r="A45" s="413"/>
      <c r="B45" s="295"/>
      <c r="C45" s="405"/>
      <c r="D45" s="417">
        <v>2</v>
      </c>
      <c r="E45" s="282">
        <v>0.45138888888888895</v>
      </c>
      <c r="F45" s="430">
        <v>0.513888888888889</v>
      </c>
      <c r="G45" s="86" t="s">
        <v>2</v>
      </c>
      <c r="H45" s="316" t="str">
        <f>VLOOKUP($G45,'参加チーム'!$B$5:$G$73,IF($N$2=1,4,5),FALSE)</f>
        <v>アトレチコ</v>
      </c>
      <c r="I45" s="417">
        <f>IF(J45&lt;&gt;"",J45+J46,"")</f>
      </c>
      <c r="J45" s="116"/>
      <c r="K45" s="426" t="s">
        <v>86</v>
      </c>
      <c r="L45" s="116"/>
      <c r="M45" s="417">
        <f>IF(L45&lt;&gt;"",L45+L46,"")</f>
      </c>
      <c r="N45" s="86" t="s">
        <v>4</v>
      </c>
      <c r="O45" s="316" t="str">
        <f>VLOOKUP($N45,'参加チーム'!$B$5:$G$73,IF($N$2=1,4,5),FALSE)</f>
        <v>ULTIMO</v>
      </c>
      <c r="P45" s="427" t="str">
        <f>+O45</f>
        <v>ULTIMO</v>
      </c>
      <c r="Q45" s="423"/>
      <c r="S45" s="20" t="str">
        <f>+"後"&amp;G45&amp;N45</f>
        <v>後南Ｂ南Ｄ</v>
      </c>
      <c r="T45" s="16">
        <f>IF(I47&lt;&gt;"",I47,"")</f>
      </c>
      <c r="U45" s="16">
        <f>IF(M47&lt;&gt;"",M47,"")</f>
      </c>
      <c r="V45" s="21">
        <f>+B43</f>
        <v>40441</v>
      </c>
      <c r="X45" s="117">
        <f t="shared" si="5"/>
        <v>9</v>
      </c>
      <c r="Y45" s="117">
        <f t="shared" si="6"/>
        <v>21</v>
      </c>
      <c r="Z45" s="117" t="str">
        <f t="shared" si="7"/>
        <v> 9/21</v>
      </c>
      <c r="AA45" s="117" t="str">
        <f t="shared" si="8"/>
        <v>△</v>
      </c>
      <c r="AB45" s="14">
        <f>IF(T45&lt;&gt;"",H47,"")</f>
      </c>
      <c r="AC45" s="117" t="str">
        <f>+Z45&amp;" "&amp;AA45&amp;" "&amp;T45&amp;"-"&amp;U45&amp;" "&amp;O47</f>
        <v> 9/21 △ - azul</v>
      </c>
      <c r="AD45" s="14">
        <f>+J47</f>
        <v>0</v>
      </c>
      <c r="AE45" s="14">
        <f>+J48</f>
        <v>0</v>
      </c>
      <c r="AF45" s="14">
        <f>+L47</f>
        <v>0</v>
      </c>
      <c r="AG45" s="14">
        <f>+L48</f>
        <v>0</v>
      </c>
      <c r="AH45" s="121">
        <f t="shared" si="9"/>
        <v>40441</v>
      </c>
    </row>
    <row r="46" spans="1:34" ht="14.25" customHeight="1">
      <c r="A46" s="413"/>
      <c r="B46" s="295"/>
      <c r="C46" s="294" t="s">
        <v>239</v>
      </c>
      <c r="D46" s="417"/>
      <c r="E46" s="281"/>
      <c r="F46" s="417"/>
      <c r="G46" s="85" t="str">
        <f>LEFT(VLOOKUP(G45,'参加チーム'!$B$5:$G$73,6,FALSE),2)</f>
        <v>福島</v>
      </c>
      <c r="H46" s="317"/>
      <c r="I46" s="417"/>
      <c r="J46" s="116"/>
      <c r="K46" s="426"/>
      <c r="L46" s="116"/>
      <c r="M46" s="417"/>
      <c r="N46" s="85" t="str">
        <f>LEFT(VLOOKUP(N45,'参加チーム'!$B$5:$G$73,6,FALSE),2)</f>
        <v>宮城</v>
      </c>
      <c r="O46" s="317"/>
      <c r="P46" s="427"/>
      <c r="Q46" s="423"/>
      <c r="S46" s="20" t="str">
        <f>+"後"&amp;N45&amp;G45</f>
        <v>後南Ｄ南Ｂ</v>
      </c>
      <c r="T46" s="16">
        <f>IF(M47&lt;&gt;"",M47,"")</f>
      </c>
      <c r="U46" s="16">
        <f>IF(I47&lt;&gt;"",I47,"")</f>
      </c>
      <c r="V46" s="21">
        <f>+B43</f>
        <v>40441</v>
      </c>
      <c r="X46" s="117">
        <f t="shared" si="5"/>
        <v>9</v>
      </c>
      <c r="Y46" s="117">
        <f t="shared" si="6"/>
        <v>21</v>
      </c>
      <c r="Z46" s="117" t="str">
        <f t="shared" si="7"/>
        <v> 9/21</v>
      </c>
      <c r="AA46" s="117" t="str">
        <f t="shared" si="8"/>
        <v>△</v>
      </c>
      <c r="AB46" s="14">
        <f>IF(T46&lt;&gt;"",O47,"")</f>
      </c>
      <c r="AC46" s="117" t="str">
        <f>+Z46&amp;" "&amp;AA46&amp;" "&amp;T46&amp;"-"&amp;U46&amp;" "&amp;H47</f>
        <v> 9/21 △ - Craque</v>
      </c>
      <c r="AD46" s="14">
        <f>+L47</f>
        <v>0</v>
      </c>
      <c r="AE46" s="14">
        <f>+L48</f>
        <v>0</v>
      </c>
      <c r="AF46" s="14">
        <f>+J47</f>
        <v>0</v>
      </c>
      <c r="AG46" s="14">
        <f>+J48</f>
        <v>0</v>
      </c>
      <c r="AH46" s="121">
        <f t="shared" si="9"/>
        <v>40441</v>
      </c>
    </row>
    <row r="47" spans="1:34" ht="14.25" customHeight="1">
      <c r="A47" s="413"/>
      <c r="B47" s="295"/>
      <c r="C47" s="294"/>
      <c r="D47" s="417">
        <v>3</v>
      </c>
      <c r="E47" s="283">
        <v>0.5277777777777778</v>
      </c>
      <c r="F47" s="430">
        <v>0.5902777777777778</v>
      </c>
      <c r="G47" s="86" t="s">
        <v>7</v>
      </c>
      <c r="H47" s="316" t="str">
        <f>VLOOKUP($G47,'参加チーム'!$B$5:$G$73,IF($N$2=1,4,5),FALSE)</f>
        <v>Craque</v>
      </c>
      <c r="I47" s="417">
        <f>IF(J47&lt;&gt;"",J47+J48,"")</f>
      </c>
      <c r="J47" s="116"/>
      <c r="K47" s="426" t="s">
        <v>86</v>
      </c>
      <c r="L47" s="116"/>
      <c r="M47" s="417">
        <f>IF(L47&lt;&gt;"",L47+L48,"")</f>
      </c>
      <c r="N47" s="86" t="s">
        <v>3</v>
      </c>
      <c r="O47" s="316" t="str">
        <f>VLOOKUP($N47,'参加チーム'!$B$5:$G$73,IF($N$2=1,4,5),FALSE)</f>
        <v>azul</v>
      </c>
      <c r="P47" s="427" t="str">
        <f>+O47</f>
        <v>azul</v>
      </c>
      <c r="Q47" s="423"/>
      <c r="S47" s="20" t="str">
        <f>+"後"&amp;G47&amp;N47</f>
        <v>後南Ｆ南Ｃ</v>
      </c>
      <c r="T47" s="16">
        <f>IF(I45&lt;&gt;"",I45,"")</f>
      </c>
      <c r="U47" s="16">
        <f>IF(M45&lt;&gt;"",M45,"")</f>
      </c>
      <c r="V47" s="21">
        <f>+B43</f>
        <v>40441</v>
      </c>
      <c r="X47" s="117">
        <f t="shared" si="5"/>
        <v>9</v>
      </c>
      <c r="Y47" s="117">
        <f t="shared" si="6"/>
        <v>21</v>
      </c>
      <c r="Z47" s="117" t="str">
        <f t="shared" si="7"/>
        <v> 9/21</v>
      </c>
      <c r="AA47" s="117" t="str">
        <f t="shared" si="8"/>
        <v>△</v>
      </c>
      <c r="AB47" s="14">
        <f>IF(T47&lt;&gt;"",H45,"")</f>
      </c>
      <c r="AC47" s="117" t="str">
        <f>+Z47&amp;" "&amp;AA47&amp;" "&amp;T47&amp;"-"&amp;U47&amp;" "&amp;O45</f>
        <v> 9/21 △ - ULTIMO</v>
      </c>
      <c r="AD47" s="14">
        <f>+J45</f>
        <v>0</v>
      </c>
      <c r="AE47" s="14">
        <f>+J46</f>
        <v>0</v>
      </c>
      <c r="AF47" s="14">
        <f>+L45</f>
        <v>0</v>
      </c>
      <c r="AG47" s="14">
        <f>+L46</f>
        <v>0</v>
      </c>
      <c r="AH47" s="121">
        <f t="shared" si="9"/>
        <v>40441</v>
      </c>
    </row>
    <row r="48" spans="1:34" ht="15" customHeight="1" thickBot="1">
      <c r="A48" s="450"/>
      <c r="B48" s="451"/>
      <c r="C48" s="327"/>
      <c r="D48" s="304"/>
      <c r="E48" s="285"/>
      <c r="F48" s="304"/>
      <c r="G48" s="149" t="str">
        <f>LEFT(VLOOKUP(G47,'参加チーム'!$B$5:$G$73,6,FALSE),2)</f>
        <v>山形</v>
      </c>
      <c r="H48" s="320"/>
      <c r="I48" s="304"/>
      <c r="J48" s="150"/>
      <c r="K48" s="303"/>
      <c r="L48" s="150"/>
      <c r="M48" s="304"/>
      <c r="N48" s="149" t="str">
        <f>LEFT(VLOOKUP(N47,'参加チーム'!$B$5:$G$73,6,FALSE),2)</f>
        <v>宮城</v>
      </c>
      <c r="O48" s="320"/>
      <c r="P48" s="325"/>
      <c r="Q48" s="449"/>
      <c r="S48" s="22" t="str">
        <f>+"後"&amp;N47&amp;G47</f>
        <v>後南Ｃ南Ｆ</v>
      </c>
      <c r="T48" s="23">
        <f>IF(M45&lt;&gt;"",M45,"")</f>
      </c>
      <c r="U48" s="23">
        <f>IF(I45&lt;&gt;"",I45,"")</f>
      </c>
      <c r="V48" s="24">
        <f>+B43</f>
        <v>40441</v>
      </c>
      <c r="X48" s="117">
        <f t="shared" si="5"/>
        <v>9</v>
      </c>
      <c r="Y48" s="117">
        <f t="shared" si="6"/>
        <v>21</v>
      </c>
      <c r="Z48" s="117" t="str">
        <f t="shared" si="7"/>
        <v> 9/21</v>
      </c>
      <c r="AA48" s="117" t="str">
        <f t="shared" si="8"/>
        <v>△</v>
      </c>
      <c r="AB48" s="14">
        <f>IF(T48&lt;&gt;"",O45,"")</f>
      </c>
      <c r="AC48" s="117" t="str">
        <f>+Z48&amp;" "&amp;AA48&amp;" "&amp;T48&amp;"-"&amp;U48&amp;" "&amp;H45</f>
        <v> 9/21 △ - アトレチコ</v>
      </c>
      <c r="AD48" s="14">
        <f>+L45</f>
        <v>0</v>
      </c>
      <c r="AE48" s="14">
        <f>+L46</f>
        <v>0</v>
      </c>
      <c r="AF48" s="14">
        <f>+J45</f>
        <v>0</v>
      </c>
      <c r="AG48" s="14">
        <f>+J46</f>
        <v>0</v>
      </c>
      <c r="AH48" s="121">
        <f t="shared" si="9"/>
        <v>40441</v>
      </c>
    </row>
    <row r="49" spans="1:34" ht="14.25" customHeight="1">
      <c r="A49" s="412">
        <v>8</v>
      </c>
      <c r="B49" s="446">
        <v>40448</v>
      </c>
      <c r="C49" s="404" t="s">
        <v>107</v>
      </c>
      <c r="D49" s="416">
        <v>1</v>
      </c>
      <c r="E49" s="280">
        <v>0.3958333333333333</v>
      </c>
      <c r="F49" s="421">
        <v>0.4375</v>
      </c>
      <c r="G49" s="84" t="s">
        <v>4</v>
      </c>
      <c r="H49" s="318" t="str">
        <f>VLOOKUP($G49,'参加チーム'!$B$5:$G$73,IF($N$2=1,4,5),FALSE)</f>
        <v>ULTIMO</v>
      </c>
      <c r="I49" s="416">
        <f>IF(J49&lt;&gt;"",J49+J50,"")</f>
      </c>
      <c r="J49" s="123"/>
      <c r="K49" s="425" t="s">
        <v>86</v>
      </c>
      <c r="L49" s="123"/>
      <c r="M49" s="416">
        <f>IF(L49&lt;&gt;"",L49+L50,"")</f>
      </c>
      <c r="N49" s="84" t="s">
        <v>7</v>
      </c>
      <c r="O49" s="318" t="str">
        <f>VLOOKUP($N49,'参加チーム'!$B$5:$G$73,IF($N$2=1,4,5),FALSE)</f>
        <v>Craque</v>
      </c>
      <c r="P49" s="429" t="str">
        <f>+O49</f>
        <v>Craque</v>
      </c>
      <c r="Q49" s="422" t="str">
        <f>+O53</f>
        <v>アトレチコ</v>
      </c>
      <c r="S49" s="17" t="str">
        <f>+"後"&amp;G49&amp;N49</f>
        <v>後南Ｄ南Ｆ</v>
      </c>
      <c r="T49" s="18">
        <f>IF(I53&lt;&gt;"",I53,"")</f>
      </c>
      <c r="U49" s="18">
        <f>IF(M53&lt;&gt;"",M53,"")</f>
      </c>
      <c r="V49" s="19">
        <f>+B49</f>
        <v>40448</v>
      </c>
      <c r="X49" s="117">
        <f t="shared" si="5"/>
        <v>9</v>
      </c>
      <c r="Y49" s="117">
        <f t="shared" si="6"/>
        <v>28</v>
      </c>
      <c r="Z49" s="117" t="str">
        <f t="shared" si="7"/>
        <v> 9/28</v>
      </c>
      <c r="AA49" s="117" t="str">
        <f t="shared" si="8"/>
        <v>△</v>
      </c>
      <c r="AB49" s="14">
        <f>IF(T49&lt;&gt;"",H53,"")</f>
      </c>
      <c r="AC49" s="117" t="str">
        <f>+Z49&amp;" "&amp;AA49&amp;" "&amp;T49&amp;"-"&amp;U49&amp;" "&amp;O53</f>
        <v> 9/28 △ - アトレチコ</v>
      </c>
      <c r="AD49" s="14">
        <f>+J53</f>
        <v>0</v>
      </c>
      <c r="AE49" s="14">
        <f>+J54</f>
        <v>0</v>
      </c>
      <c r="AF49" s="14">
        <f>+L53</f>
        <v>0</v>
      </c>
      <c r="AG49" s="14">
        <f>+L54</f>
        <v>0</v>
      </c>
      <c r="AH49" s="121">
        <f t="shared" si="9"/>
        <v>40448</v>
      </c>
    </row>
    <row r="50" spans="1:34" ht="14.25" customHeight="1">
      <c r="A50" s="413"/>
      <c r="B50" s="447"/>
      <c r="C50" s="405"/>
      <c r="D50" s="417"/>
      <c r="E50" s="281"/>
      <c r="F50" s="417"/>
      <c r="G50" s="85" t="str">
        <f>LEFT(VLOOKUP(G49,'参加チーム'!$B$5:$G$73,6,FALSE),2)</f>
        <v>宮城</v>
      </c>
      <c r="H50" s="317"/>
      <c r="I50" s="417"/>
      <c r="J50" s="116"/>
      <c r="K50" s="426"/>
      <c r="L50" s="116"/>
      <c r="M50" s="417"/>
      <c r="N50" s="85" t="str">
        <f>LEFT(VLOOKUP(N49,'参加チーム'!$B$5:$G$73,6,FALSE),2)</f>
        <v>山形</v>
      </c>
      <c r="O50" s="317"/>
      <c r="P50" s="427"/>
      <c r="Q50" s="423"/>
      <c r="S50" s="20" t="str">
        <f>+"後"&amp;N49&amp;G49</f>
        <v>後南Ｆ南Ｄ</v>
      </c>
      <c r="T50" s="16">
        <f>IF(M53&lt;&gt;"",M53,"")</f>
      </c>
      <c r="U50" s="16">
        <f>IF(I53&lt;&gt;"",I53,"")</f>
      </c>
      <c r="V50" s="21">
        <f>+B49</f>
        <v>40448</v>
      </c>
      <c r="X50" s="117">
        <f t="shared" si="5"/>
        <v>9</v>
      </c>
      <c r="Y50" s="117">
        <f t="shared" si="6"/>
        <v>28</v>
      </c>
      <c r="Z50" s="117" t="str">
        <f t="shared" si="7"/>
        <v> 9/28</v>
      </c>
      <c r="AA50" s="117" t="str">
        <f t="shared" si="8"/>
        <v>△</v>
      </c>
      <c r="AB50" s="14">
        <f>IF(T50&lt;&gt;"",O53,"")</f>
      </c>
      <c r="AC50" s="117" t="str">
        <f>+Z50&amp;" "&amp;AA50&amp;" "&amp;T50&amp;"-"&amp;U50&amp;" "&amp;H53</f>
        <v> 9/28 △ - カメレオン</v>
      </c>
      <c r="AD50" s="14">
        <f>+L53</f>
        <v>0</v>
      </c>
      <c r="AE50" s="14">
        <f>+L54</f>
        <v>0</v>
      </c>
      <c r="AF50" s="14">
        <f>+J53</f>
        <v>0</v>
      </c>
      <c r="AG50" s="14">
        <f>+J54</f>
        <v>0</v>
      </c>
      <c r="AH50" s="121">
        <f t="shared" si="9"/>
        <v>40448</v>
      </c>
    </row>
    <row r="51" spans="1:34" ht="14.25" customHeight="1">
      <c r="A51" s="413"/>
      <c r="B51" s="447"/>
      <c r="C51" s="405"/>
      <c r="D51" s="417">
        <v>2</v>
      </c>
      <c r="E51" s="282">
        <v>0.45138888888888895</v>
      </c>
      <c r="F51" s="430">
        <v>0.513888888888889</v>
      </c>
      <c r="G51" s="86" t="s">
        <v>3</v>
      </c>
      <c r="H51" s="316" t="str">
        <f>VLOOKUP($G51,'参加チーム'!$B$5:$G$73,IF($N$2=1,4,5),FALSE)</f>
        <v>azul</v>
      </c>
      <c r="I51" s="417">
        <f>IF(J51&lt;&gt;"",J51+J52,"")</f>
      </c>
      <c r="J51" s="116"/>
      <c r="K51" s="426" t="s">
        <v>86</v>
      </c>
      <c r="L51" s="116"/>
      <c r="M51" s="417">
        <f>IF(L51&lt;&gt;"",L51+L52,"")</f>
      </c>
      <c r="N51" s="86" t="s">
        <v>49</v>
      </c>
      <c r="O51" s="316" t="str">
        <f>VLOOKUP($N51,'参加チーム'!$B$5:$G$73,IF($N$2=1,4,5),FALSE)</f>
        <v>Zoorasia</v>
      </c>
      <c r="P51" s="427" t="str">
        <f>+O51</f>
        <v>Zoorasia</v>
      </c>
      <c r="Q51" s="423"/>
      <c r="S51" s="20" t="str">
        <f>+"後"&amp;G51&amp;N51</f>
        <v>後南Ｃ南Ａ</v>
      </c>
      <c r="T51" s="16">
        <f>IF(I51&lt;&gt;"",I51,"")</f>
      </c>
      <c r="U51" s="16">
        <f>IF(M51&lt;&gt;"",M51,"")</f>
      </c>
      <c r="V51" s="21">
        <f>+B49</f>
        <v>40448</v>
      </c>
      <c r="X51" s="117">
        <f t="shared" si="5"/>
        <v>9</v>
      </c>
      <c r="Y51" s="117">
        <f t="shared" si="6"/>
        <v>28</v>
      </c>
      <c r="Z51" s="117" t="str">
        <f t="shared" si="7"/>
        <v> 9/28</v>
      </c>
      <c r="AA51" s="117" t="str">
        <f t="shared" si="8"/>
        <v>△</v>
      </c>
      <c r="AB51" s="14">
        <f>IF(T51&lt;&gt;"",H51,"")</f>
      </c>
      <c r="AC51" s="117" t="str">
        <f>+Z51&amp;" "&amp;AA51&amp;" "&amp;T51&amp;"-"&amp;U51&amp;" "&amp;O51</f>
        <v> 9/28 △ - Zoorasia</v>
      </c>
      <c r="AD51" s="14">
        <f>+J51</f>
        <v>0</v>
      </c>
      <c r="AE51" s="14">
        <f>+J52</f>
        <v>0</v>
      </c>
      <c r="AF51" s="14">
        <f>+L51</f>
        <v>0</v>
      </c>
      <c r="AG51" s="14">
        <f>+L52</f>
        <v>0</v>
      </c>
      <c r="AH51" s="121">
        <f t="shared" si="9"/>
        <v>40448</v>
      </c>
    </row>
    <row r="52" spans="1:34" ht="14.25" customHeight="1">
      <c r="A52" s="413"/>
      <c r="B52" s="447"/>
      <c r="C52" s="443" t="s">
        <v>240</v>
      </c>
      <c r="D52" s="417"/>
      <c r="E52" s="281"/>
      <c r="F52" s="417"/>
      <c r="G52" s="85" t="str">
        <f>LEFT(VLOOKUP(G51,'参加チーム'!$B$5:$G$73,6,FALSE),2)</f>
        <v>宮城</v>
      </c>
      <c r="H52" s="317"/>
      <c r="I52" s="417"/>
      <c r="J52" s="116"/>
      <c r="K52" s="426"/>
      <c r="L52" s="116"/>
      <c r="M52" s="417"/>
      <c r="N52" s="85" t="str">
        <f>LEFT(VLOOKUP(N51,'参加チーム'!$B$5:$G$73,6,FALSE),2)</f>
        <v>宮城</v>
      </c>
      <c r="O52" s="317"/>
      <c r="P52" s="427"/>
      <c r="Q52" s="423"/>
      <c r="S52" s="20" t="str">
        <f>+"後"&amp;N51&amp;G51</f>
        <v>後南Ａ南Ｃ</v>
      </c>
      <c r="T52" s="16">
        <f>IF(M51&lt;&gt;"",M51,"")</f>
      </c>
      <c r="U52" s="16">
        <f>IF(I51&lt;&gt;"",I51,"")</f>
      </c>
      <c r="V52" s="21">
        <f>+B49</f>
        <v>40448</v>
      </c>
      <c r="X52" s="117">
        <f t="shared" si="5"/>
        <v>9</v>
      </c>
      <c r="Y52" s="117">
        <f t="shared" si="6"/>
        <v>28</v>
      </c>
      <c r="Z52" s="117" t="str">
        <f t="shared" si="7"/>
        <v> 9/28</v>
      </c>
      <c r="AA52" s="117" t="str">
        <f t="shared" si="8"/>
        <v>△</v>
      </c>
      <c r="AB52" s="14">
        <f>IF(T52&lt;&gt;"",O51,"")</f>
      </c>
      <c r="AC52" s="117" t="str">
        <f>+Z52&amp;" "&amp;AA52&amp;" "&amp;T52&amp;"-"&amp;U52&amp;" "&amp;H51</f>
        <v> 9/28 △ - azul</v>
      </c>
      <c r="AD52" s="14">
        <f>+L51</f>
        <v>0</v>
      </c>
      <c r="AE52" s="14">
        <f>+L52</f>
        <v>0</v>
      </c>
      <c r="AF52" s="14">
        <f>+J51</f>
        <v>0</v>
      </c>
      <c r="AG52" s="14">
        <f>+J52</f>
        <v>0</v>
      </c>
      <c r="AH52" s="121">
        <f t="shared" si="9"/>
        <v>40448</v>
      </c>
    </row>
    <row r="53" spans="1:34" ht="14.25">
      <c r="A53" s="413"/>
      <c r="B53" s="447"/>
      <c r="C53" s="292"/>
      <c r="D53" s="417">
        <v>3</v>
      </c>
      <c r="E53" s="283">
        <v>0.5277777777777778</v>
      </c>
      <c r="F53" s="430">
        <v>0.5902777777777778</v>
      </c>
      <c r="G53" s="86" t="s">
        <v>6</v>
      </c>
      <c r="H53" s="316" t="str">
        <f>VLOOKUP($G53,'参加チーム'!$B$5:$G$73,IF($N$2=1,4,5),FALSE)</f>
        <v>カメレオン</v>
      </c>
      <c r="I53" s="417">
        <f>IF(J53&lt;&gt;"",J53+J54,"")</f>
      </c>
      <c r="J53" s="116"/>
      <c r="K53" s="426" t="s">
        <v>86</v>
      </c>
      <c r="L53" s="116"/>
      <c r="M53" s="417">
        <f>IF(L53&lt;&gt;"",L53+L54,"")</f>
      </c>
      <c r="N53" s="86" t="s">
        <v>2</v>
      </c>
      <c r="O53" s="316" t="str">
        <f>VLOOKUP($N53,'参加チーム'!$B$5:$G$73,IF($N$2=1,4,5),FALSE)</f>
        <v>アトレチコ</v>
      </c>
      <c r="P53" s="427" t="str">
        <f>+O53</f>
        <v>アトレチコ</v>
      </c>
      <c r="Q53" s="423"/>
      <c r="S53" s="20" t="str">
        <f>+"後"&amp;G53&amp;N53</f>
        <v>後南Ｅ南Ｂ</v>
      </c>
      <c r="T53" s="16">
        <f>IF(I49&lt;&gt;"",I49,"")</f>
      </c>
      <c r="U53" s="16">
        <f>IF(M49&lt;&gt;"",M49,"")</f>
      </c>
      <c r="V53" s="21">
        <f>+B49</f>
        <v>40448</v>
      </c>
      <c r="X53" s="117">
        <f t="shared" si="5"/>
        <v>9</v>
      </c>
      <c r="Y53" s="117">
        <f t="shared" si="6"/>
        <v>28</v>
      </c>
      <c r="Z53" s="117" t="str">
        <f t="shared" si="7"/>
        <v> 9/28</v>
      </c>
      <c r="AA53" s="117" t="str">
        <f t="shared" si="8"/>
        <v>△</v>
      </c>
      <c r="AB53" s="14">
        <f>IF(T53&lt;&gt;"",H49,"")</f>
      </c>
      <c r="AC53" s="117" t="str">
        <f>+Z53&amp;" "&amp;AA53&amp;" "&amp;T53&amp;"-"&amp;U53&amp;" "&amp;O49</f>
        <v> 9/28 △ - Craque</v>
      </c>
      <c r="AD53" s="14">
        <f>+J49</f>
        <v>0</v>
      </c>
      <c r="AE53" s="14">
        <f>+J50</f>
        <v>0</v>
      </c>
      <c r="AF53" s="14">
        <f>+L49</f>
        <v>0</v>
      </c>
      <c r="AG53" s="14">
        <f>+L50</f>
        <v>0</v>
      </c>
      <c r="AH53" s="121">
        <f t="shared" si="9"/>
        <v>40448</v>
      </c>
    </row>
    <row r="54" spans="1:34" ht="15" thickBot="1">
      <c r="A54" s="414"/>
      <c r="B54" s="448"/>
      <c r="C54" s="293"/>
      <c r="D54" s="420"/>
      <c r="E54" s="285"/>
      <c r="F54" s="420"/>
      <c r="G54" s="124" t="str">
        <f>LEFT(VLOOKUP(G53,'参加チーム'!$B$5:$G$73,6,FALSE),2)</f>
        <v>山形</v>
      </c>
      <c r="H54" s="320"/>
      <c r="I54" s="420"/>
      <c r="J54" s="125"/>
      <c r="K54" s="433"/>
      <c r="L54" s="125"/>
      <c r="M54" s="420"/>
      <c r="N54" s="124" t="str">
        <f>LEFT(VLOOKUP(N53,'参加チーム'!$B$5:$G$73,6,FALSE),2)</f>
        <v>福島</v>
      </c>
      <c r="O54" s="320"/>
      <c r="P54" s="428"/>
      <c r="Q54" s="424"/>
      <c r="S54" s="22" t="str">
        <f>+"後"&amp;N53&amp;G53</f>
        <v>後南Ｂ南Ｅ</v>
      </c>
      <c r="T54" s="23">
        <f>IF(M49&lt;&gt;"",M49,"")</f>
      </c>
      <c r="U54" s="23">
        <f>IF(I49&lt;&gt;"",I49,"")</f>
      </c>
      <c r="V54" s="24">
        <f>+B49</f>
        <v>40448</v>
      </c>
      <c r="X54" s="117">
        <f t="shared" si="5"/>
        <v>9</v>
      </c>
      <c r="Y54" s="117">
        <f t="shared" si="6"/>
        <v>28</v>
      </c>
      <c r="Z54" s="117" t="str">
        <f t="shared" si="7"/>
        <v> 9/28</v>
      </c>
      <c r="AA54" s="117" t="str">
        <f t="shared" si="8"/>
        <v>△</v>
      </c>
      <c r="AB54" s="14">
        <f>IF(T54&lt;&gt;"",O49,"")</f>
      </c>
      <c r="AC54" s="117" t="str">
        <f>+Z54&amp;" "&amp;AA54&amp;" "&amp;T54&amp;"-"&amp;U54&amp;" "&amp;H49</f>
        <v> 9/28 △ - ULTIMO</v>
      </c>
      <c r="AD54" s="14">
        <f>+L49</f>
        <v>0</v>
      </c>
      <c r="AE54" s="14">
        <f>+L50</f>
        <v>0</v>
      </c>
      <c r="AF54" s="14">
        <f>+J49</f>
        <v>0</v>
      </c>
      <c r="AG54" s="14">
        <f>+J50</f>
        <v>0</v>
      </c>
      <c r="AH54" s="121">
        <f t="shared" si="9"/>
        <v>40448</v>
      </c>
    </row>
    <row r="55" spans="1:34" ht="14.25" customHeight="1">
      <c r="A55" s="441">
        <v>9</v>
      </c>
      <c r="B55" s="442">
        <v>40455</v>
      </c>
      <c r="C55" s="432" t="s">
        <v>87</v>
      </c>
      <c r="D55" s="281">
        <v>1</v>
      </c>
      <c r="E55" s="280">
        <v>0.3958333333333333</v>
      </c>
      <c r="F55" s="286">
        <v>0.4375</v>
      </c>
      <c r="G55" s="151" t="s">
        <v>3</v>
      </c>
      <c r="H55" s="318" t="str">
        <f>VLOOKUP($G55,'参加チーム'!$B$5:$G$73,IF($N$2=1,4,5),FALSE)</f>
        <v>azul</v>
      </c>
      <c r="I55" s="281">
        <f>IF(J55&lt;&gt;"",J55+J56,"")</f>
      </c>
      <c r="J55" s="159"/>
      <c r="K55" s="302" t="s">
        <v>86</v>
      </c>
      <c r="L55" s="159"/>
      <c r="M55" s="281">
        <f>IF(L55&lt;&gt;"",L55+L56,"")</f>
      </c>
      <c r="N55" s="151" t="s">
        <v>6</v>
      </c>
      <c r="O55" s="318" t="str">
        <f>VLOOKUP($N55,'参加チーム'!$B$5:$G$73,IF($N$2=1,4,5),FALSE)</f>
        <v>カメレオン</v>
      </c>
      <c r="P55" s="307" t="str">
        <f>+O55</f>
        <v>カメレオン</v>
      </c>
      <c r="Q55" s="445" t="str">
        <f>+H59</f>
        <v>Zoorasia</v>
      </c>
      <c r="S55" s="17" t="str">
        <f>+"後"&amp;G55&amp;N55</f>
        <v>後南Ｃ南Ｅ</v>
      </c>
      <c r="T55" s="18">
        <f>IF(I57&lt;&gt;"",I57,"")</f>
      </c>
      <c r="U55" s="18">
        <f>IF(M57&lt;&gt;"",M57,"")</f>
      </c>
      <c r="V55" s="19">
        <f>+B55</f>
        <v>40455</v>
      </c>
      <c r="X55" s="117">
        <f t="shared" si="5"/>
        <v>10</v>
      </c>
      <c r="Y55" s="117">
        <f t="shared" si="6"/>
        <v>5</v>
      </c>
      <c r="Z55" s="117" t="str">
        <f t="shared" si="7"/>
        <v>10/ 5</v>
      </c>
      <c r="AA55" s="117" t="str">
        <f t="shared" si="8"/>
        <v>△</v>
      </c>
      <c r="AB55" s="14">
        <f>IF(T55&lt;&gt;"",H57,"")</f>
      </c>
      <c r="AC55" s="117" t="str">
        <f>+Z55&amp;" "&amp;AA55&amp;" "&amp;T55&amp;"-"&amp;U55&amp;" "&amp;O57</f>
        <v>10/ 5 △ - Craque</v>
      </c>
      <c r="AD55" s="14">
        <f>+J57</f>
        <v>0</v>
      </c>
      <c r="AE55" s="14">
        <f>+J58</f>
        <v>0</v>
      </c>
      <c r="AF55" s="14">
        <f>+L57</f>
        <v>0</v>
      </c>
      <c r="AG55" s="14">
        <f>+L58</f>
        <v>0</v>
      </c>
      <c r="AH55" s="121">
        <f t="shared" si="9"/>
        <v>40455</v>
      </c>
    </row>
    <row r="56" spans="1:34" ht="14.25" customHeight="1">
      <c r="A56" s="413"/>
      <c r="B56" s="295"/>
      <c r="C56" s="405"/>
      <c r="D56" s="417"/>
      <c r="E56" s="281"/>
      <c r="F56" s="417"/>
      <c r="G56" s="85" t="str">
        <f>LEFT(VLOOKUP(G55,'参加チーム'!$B$5:$G$73,6,FALSE),2)</f>
        <v>宮城</v>
      </c>
      <c r="H56" s="317"/>
      <c r="I56" s="417"/>
      <c r="J56" s="116"/>
      <c r="K56" s="426"/>
      <c r="L56" s="116"/>
      <c r="M56" s="417"/>
      <c r="N56" s="85" t="str">
        <f>LEFT(VLOOKUP(N55,'参加チーム'!$B$5:$G$73,6,FALSE),2)</f>
        <v>山形</v>
      </c>
      <c r="O56" s="317"/>
      <c r="P56" s="427"/>
      <c r="Q56" s="423"/>
      <c r="S56" s="20" t="str">
        <f>+"後"&amp;N55&amp;G55</f>
        <v>後南Ｅ南Ｃ</v>
      </c>
      <c r="T56" s="16">
        <f>IF(M57&lt;&gt;"",M57,"")</f>
      </c>
      <c r="U56" s="16">
        <f>IF(I57&lt;&gt;"",I57,"")</f>
      </c>
      <c r="V56" s="21">
        <f>+B55</f>
        <v>40455</v>
      </c>
      <c r="W56" s="14">
        <f>+F55-$W$2</f>
        <v>0.3958333333333333</v>
      </c>
      <c r="X56" s="117">
        <f t="shared" si="5"/>
        <v>10</v>
      </c>
      <c r="Y56" s="117">
        <f t="shared" si="6"/>
        <v>5</v>
      </c>
      <c r="Z56" s="117" t="str">
        <f t="shared" si="7"/>
        <v>10/ 5</v>
      </c>
      <c r="AA56" s="117" t="str">
        <f t="shared" si="8"/>
        <v>△</v>
      </c>
      <c r="AB56" s="14">
        <f>IF(T56&lt;&gt;"",O57,"")</f>
      </c>
      <c r="AC56" s="117" t="str">
        <f>+Z56&amp;" "&amp;AA56&amp;" "&amp;T56&amp;"-"&amp;U56&amp;" "&amp;H57</f>
        <v>10/ 5 △ - アトレチコ</v>
      </c>
      <c r="AD56" s="14">
        <f>+L57</f>
        <v>0</v>
      </c>
      <c r="AE56" s="14">
        <f>+L58</f>
        <v>0</v>
      </c>
      <c r="AF56" s="14">
        <f>+J57</f>
        <v>0</v>
      </c>
      <c r="AG56" s="14">
        <f>+J58</f>
        <v>0</v>
      </c>
      <c r="AH56" s="121">
        <f t="shared" si="9"/>
        <v>40455</v>
      </c>
    </row>
    <row r="57" spans="1:34" ht="14.25" customHeight="1">
      <c r="A57" s="413"/>
      <c r="B57" s="295"/>
      <c r="C57" s="405"/>
      <c r="D57" s="417">
        <v>2</v>
      </c>
      <c r="E57" s="282">
        <v>0.45138888888888895</v>
      </c>
      <c r="F57" s="430">
        <v>0.513888888888889</v>
      </c>
      <c r="G57" s="86" t="s">
        <v>2</v>
      </c>
      <c r="H57" s="316" t="str">
        <f>VLOOKUP($G57,'参加チーム'!$B$5:$G$73,IF($N$2=1,4,5),FALSE)</f>
        <v>アトレチコ</v>
      </c>
      <c r="I57" s="417">
        <f>IF(J57&lt;&gt;"",J57+J58,"")</f>
      </c>
      <c r="J57" s="116"/>
      <c r="K57" s="426" t="s">
        <v>86</v>
      </c>
      <c r="L57" s="116"/>
      <c r="M57" s="417">
        <f>IF(L57&lt;&gt;"",L57+L58,"")</f>
      </c>
      <c r="N57" s="86" t="s">
        <v>7</v>
      </c>
      <c r="O57" s="316" t="str">
        <f>VLOOKUP($N57,'参加チーム'!$B$5:$G$73,IF($N$2=1,4,5),FALSE)</f>
        <v>Craque</v>
      </c>
      <c r="P57" s="427" t="str">
        <f>+O57</f>
        <v>Craque</v>
      </c>
      <c r="Q57" s="423"/>
      <c r="S57" s="20" t="str">
        <f>+"後"&amp;G57&amp;N57</f>
        <v>後南Ｂ南Ｆ</v>
      </c>
      <c r="T57" s="16">
        <f>IF(I55&lt;&gt;"",I55,"")</f>
      </c>
      <c r="U57" s="16">
        <f>IF(M55&lt;&gt;"",M55,"")</f>
      </c>
      <c r="V57" s="21">
        <f>+B55</f>
        <v>40455</v>
      </c>
      <c r="X57" s="117">
        <f t="shared" si="5"/>
        <v>10</v>
      </c>
      <c r="Y57" s="117">
        <f t="shared" si="6"/>
        <v>5</v>
      </c>
      <c r="Z57" s="117" t="str">
        <f t="shared" si="7"/>
        <v>10/ 5</v>
      </c>
      <c r="AA57" s="117" t="str">
        <f t="shared" si="8"/>
        <v>△</v>
      </c>
      <c r="AB57" s="14">
        <f>IF(T57&lt;&gt;"",H55,"")</f>
      </c>
      <c r="AC57" s="117" t="str">
        <f>+Z57&amp;" "&amp;AA57&amp;" "&amp;T57&amp;"-"&amp;U57&amp;" "&amp;O55</f>
        <v>10/ 5 △ - カメレオン</v>
      </c>
      <c r="AD57" s="14">
        <f>+J55</f>
        <v>0</v>
      </c>
      <c r="AE57" s="14">
        <f>+J56</f>
        <v>0</v>
      </c>
      <c r="AF57" s="14">
        <f>+L55</f>
        <v>0</v>
      </c>
      <c r="AG57" s="14">
        <f>+L56</f>
        <v>0</v>
      </c>
      <c r="AH57" s="121">
        <f t="shared" si="9"/>
        <v>40455</v>
      </c>
    </row>
    <row r="58" spans="1:34" ht="14.25" customHeight="1">
      <c r="A58" s="413"/>
      <c r="B58" s="295"/>
      <c r="C58" s="443" t="s">
        <v>134</v>
      </c>
      <c r="D58" s="417"/>
      <c r="E58" s="281"/>
      <c r="F58" s="417"/>
      <c r="G58" s="85" t="str">
        <f>LEFT(VLOOKUP(G57,'参加チーム'!$B$5:$G$73,6,FALSE),2)</f>
        <v>福島</v>
      </c>
      <c r="H58" s="317"/>
      <c r="I58" s="417"/>
      <c r="J58" s="116"/>
      <c r="K58" s="426"/>
      <c r="L58" s="116"/>
      <c r="M58" s="417"/>
      <c r="N58" s="85" t="str">
        <f>LEFT(VLOOKUP(N57,'参加チーム'!$B$5:$G$73,6,FALSE),2)</f>
        <v>山形</v>
      </c>
      <c r="O58" s="317"/>
      <c r="P58" s="427"/>
      <c r="Q58" s="423"/>
      <c r="S58" s="20" t="str">
        <f>+"後"&amp;N57&amp;G57</f>
        <v>後南Ｆ南Ｂ</v>
      </c>
      <c r="T58" s="16">
        <f>IF(M55&lt;&gt;"",M55,"")</f>
      </c>
      <c r="U58" s="16">
        <f>IF(I55&lt;&gt;"",I55,"")</f>
      </c>
      <c r="V58" s="21">
        <f>+B55</f>
        <v>40455</v>
      </c>
      <c r="W58" s="14">
        <f>+F57-$W$3</f>
        <v>0.45138888888888895</v>
      </c>
      <c r="X58" s="117">
        <f t="shared" si="5"/>
        <v>10</v>
      </c>
      <c r="Y58" s="117">
        <f t="shared" si="6"/>
        <v>5</v>
      </c>
      <c r="Z58" s="117" t="str">
        <f t="shared" si="7"/>
        <v>10/ 5</v>
      </c>
      <c r="AA58" s="117" t="str">
        <f t="shared" si="8"/>
        <v>△</v>
      </c>
      <c r="AB58" s="14">
        <f>IF(T58&lt;&gt;"",O55,"")</f>
      </c>
      <c r="AC58" s="117" t="str">
        <f>+Z58&amp;" "&amp;AA58&amp;" "&amp;T58&amp;"-"&amp;U58&amp;" "&amp;H55</f>
        <v>10/ 5 △ - azul</v>
      </c>
      <c r="AD58" s="14">
        <f>+L55</f>
        <v>0</v>
      </c>
      <c r="AE58" s="14">
        <f>+L56</f>
        <v>0</v>
      </c>
      <c r="AF58" s="14">
        <f>+J55</f>
        <v>0</v>
      </c>
      <c r="AG58" s="14">
        <f>+J56</f>
        <v>0</v>
      </c>
      <c r="AH58" s="121">
        <f t="shared" si="9"/>
        <v>40455</v>
      </c>
    </row>
    <row r="59" spans="1:34" ht="14.25">
      <c r="A59" s="413"/>
      <c r="B59" s="295"/>
      <c r="C59" s="443"/>
      <c r="D59" s="417">
        <v>3</v>
      </c>
      <c r="E59" s="283">
        <v>0.5277777777777778</v>
      </c>
      <c r="F59" s="430">
        <v>0.5902777777777778</v>
      </c>
      <c r="G59" s="86" t="s">
        <v>49</v>
      </c>
      <c r="H59" s="316" t="str">
        <f>VLOOKUP($G59,'参加チーム'!$B$5:$G$73,IF($N$2=1,4,5),FALSE)</f>
        <v>Zoorasia</v>
      </c>
      <c r="I59" s="417">
        <f>IF(J59&lt;&gt;"",J59+J60,"")</f>
      </c>
      <c r="J59" s="116"/>
      <c r="K59" s="426" t="s">
        <v>86</v>
      </c>
      <c r="L59" s="116"/>
      <c r="M59" s="417">
        <f>IF(L59&lt;&gt;"",L59+L60,"")</f>
      </c>
      <c r="N59" s="86" t="s">
        <v>4</v>
      </c>
      <c r="O59" s="316" t="str">
        <f>VLOOKUP($N59,'参加チーム'!$B$5:$G$73,IF($N$2=1,4,5),FALSE)</f>
        <v>ULTIMO</v>
      </c>
      <c r="P59" s="427" t="str">
        <f>+O59</f>
        <v>ULTIMO</v>
      </c>
      <c r="Q59" s="423"/>
      <c r="S59" s="20" t="str">
        <f>+"後"&amp;G59&amp;N59</f>
        <v>後南Ａ南Ｄ</v>
      </c>
      <c r="T59" s="16">
        <f>IF(I59&lt;&gt;"",I59,"")</f>
      </c>
      <c r="U59" s="16">
        <f>IF(M59&lt;&gt;"",M59,"")</f>
      </c>
      <c r="V59" s="21">
        <f>+B55</f>
        <v>40455</v>
      </c>
      <c r="X59" s="117">
        <f t="shared" si="5"/>
        <v>10</v>
      </c>
      <c r="Y59" s="117">
        <f t="shared" si="6"/>
        <v>5</v>
      </c>
      <c r="Z59" s="117" t="str">
        <f t="shared" si="7"/>
        <v>10/ 5</v>
      </c>
      <c r="AA59" s="117" t="str">
        <f t="shared" si="8"/>
        <v>△</v>
      </c>
      <c r="AB59" s="14">
        <f>IF(T59&lt;&gt;"",H59,"")</f>
      </c>
      <c r="AC59" s="117" t="str">
        <f>+Z59&amp;" "&amp;AA59&amp;" "&amp;T59&amp;"-"&amp;U59&amp;" "&amp;O59</f>
        <v>10/ 5 △ - ULTIMO</v>
      </c>
      <c r="AD59" s="14">
        <f>+J59</f>
        <v>0</v>
      </c>
      <c r="AE59" s="14">
        <f>+J60</f>
        <v>0</v>
      </c>
      <c r="AF59" s="14">
        <f>+L59</f>
        <v>0</v>
      </c>
      <c r="AG59" s="14">
        <f>+L60</f>
        <v>0</v>
      </c>
      <c r="AH59" s="121">
        <f t="shared" si="9"/>
        <v>40455</v>
      </c>
    </row>
    <row r="60" spans="1:34" ht="15" thickBot="1">
      <c r="A60" s="414"/>
      <c r="B60" s="296"/>
      <c r="C60" s="444"/>
      <c r="D60" s="420"/>
      <c r="E60" s="285"/>
      <c r="F60" s="420"/>
      <c r="G60" s="124" t="str">
        <f>LEFT(VLOOKUP(G59,'参加チーム'!$B$5:$G$73,6,FALSE),2)</f>
        <v>宮城</v>
      </c>
      <c r="H60" s="320"/>
      <c r="I60" s="420"/>
      <c r="J60" s="125"/>
      <c r="K60" s="433"/>
      <c r="L60" s="125"/>
      <c r="M60" s="420"/>
      <c r="N60" s="124" t="str">
        <f>LEFT(VLOOKUP(N59,'参加チーム'!$B$5:$G$73,6,FALSE),2)</f>
        <v>宮城</v>
      </c>
      <c r="O60" s="320"/>
      <c r="P60" s="428"/>
      <c r="Q60" s="424"/>
      <c r="S60" s="22" t="str">
        <f>+"後"&amp;N59&amp;G59</f>
        <v>後南Ｄ南Ａ</v>
      </c>
      <c r="T60" s="23">
        <f>IF(M59&lt;&gt;"",M59,"")</f>
      </c>
      <c r="U60" s="23">
        <f>IF(I59&lt;&gt;"",I59,"")</f>
      </c>
      <c r="V60" s="24">
        <f>+B55</f>
        <v>40455</v>
      </c>
      <c r="W60" s="14">
        <f>+F59-$W$3</f>
        <v>0.5277777777777778</v>
      </c>
      <c r="X60" s="14">
        <f t="shared" si="5"/>
        <v>10</v>
      </c>
      <c r="Y60" s="14">
        <f t="shared" si="6"/>
        <v>5</v>
      </c>
      <c r="Z60" s="14" t="str">
        <f t="shared" si="7"/>
        <v>10/ 5</v>
      </c>
      <c r="AA60" s="14" t="str">
        <f t="shared" si="8"/>
        <v>△</v>
      </c>
      <c r="AB60" s="14">
        <f>IF(T60&lt;&gt;"",O59,"")</f>
      </c>
      <c r="AC60" s="117" t="str">
        <f>+Z60&amp;" "&amp;AA60&amp;" "&amp;T60&amp;"-"&amp;U60&amp;" "&amp;H59</f>
        <v>10/ 5 △ - Zoorasia</v>
      </c>
      <c r="AD60" s="14">
        <f>+L59</f>
        <v>0</v>
      </c>
      <c r="AE60" s="14">
        <f>+L60</f>
        <v>0</v>
      </c>
      <c r="AF60" s="14">
        <f>+J59</f>
        <v>0</v>
      </c>
      <c r="AG60" s="14">
        <f>+J60</f>
        <v>0</v>
      </c>
      <c r="AH60" s="121">
        <f t="shared" si="9"/>
        <v>40455</v>
      </c>
    </row>
    <row r="61" spans="1:34" ht="14.25" customHeight="1">
      <c r="A61" s="289">
        <v>10</v>
      </c>
      <c r="B61" s="431">
        <v>40463</v>
      </c>
      <c r="C61" s="432" t="s">
        <v>107</v>
      </c>
      <c r="D61" s="411">
        <v>1</v>
      </c>
      <c r="E61" s="280">
        <v>0.3958333333333333</v>
      </c>
      <c r="F61" s="434">
        <v>0.4375</v>
      </c>
      <c r="G61" s="151" t="s">
        <v>49</v>
      </c>
      <c r="H61" s="318" t="str">
        <f>VLOOKUP($G61,'参加チーム'!$B$5:$G$73,IF($N$2=1,4,5),FALSE)</f>
        <v>Zoorasia</v>
      </c>
      <c r="I61" s="304">
        <f>IF(J61&lt;&gt;"",J61+J62,"")</f>
      </c>
      <c r="J61" s="116"/>
      <c r="K61" s="303" t="s">
        <v>86</v>
      </c>
      <c r="L61" s="116"/>
      <c r="M61" s="304">
        <f>IF(L61&lt;&gt;"",L61+L62,"")</f>
      </c>
      <c r="N61" s="86" t="s">
        <v>2</v>
      </c>
      <c r="O61" s="318" t="str">
        <f>VLOOKUP($N61,'参加チーム'!$B$5:$G$73,IF($N$2=1,4,5),FALSE)</f>
        <v>アトレチコ</v>
      </c>
      <c r="P61" s="325" t="str">
        <f>+O61</f>
        <v>アトレチコ</v>
      </c>
      <c r="Q61" s="323" t="str">
        <f>+O61</f>
        <v>アトレチコ</v>
      </c>
      <c r="S61" s="17" t="str">
        <f>+"後"&amp;G61&amp;N61</f>
        <v>後南Ａ南Ｂ</v>
      </c>
      <c r="T61" s="18">
        <f>IF(I63&lt;&gt;"",I63,"")</f>
      </c>
      <c r="U61" s="18">
        <f>IF(M63&lt;&gt;"",M63,"")</f>
      </c>
      <c r="V61" s="19">
        <f>+B61</f>
        <v>40463</v>
      </c>
      <c r="X61" s="14">
        <f t="shared" si="5"/>
        <v>10</v>
      </c>
      <c r="Y61" s="14">
        <f t="shared" si="6"/>
        <v>13</v>
      </c>
      <c r="Z61" s="14" t="str">
        <f t="shared" si="7"/>
        <v>10/13</v>
      </c>
      <c r="AA61" s="14" t="str">
        <f t="shared" si="8"/>
        <v>△</v>
      </c>
      <c r="AB61" s="14">
        <f>IF(T61&lt;&gt;"",H63,"")</f>
      </c>
      <c r="AC61" s="117" t="str">
        <f>+Z61&amp;" "&amp;AA61&amp;" "&amp;T61&amp;"-"&amp;U61&amp;" "&amp;O63</f>
        <v>10/13 △ - カメレオン</v>
      </c>
      <c r="AD61" s="14">
        <f>+J63</f>
        <v>0</v>
      </c>
      <c r="AE61" s="14">
        <f>+J64</f>
        <v>0</v>
      </c>
      <c r="AF61" s="14">
        <f>+L63</f>
        <v>0</v>
      </c>
      <c r="AG61" s="14">
        <f>+L64</f>
        <v>0</v>
      </c>
      <c r="AH61" s="121">
        <f t="shared" si="9"/>
        <v>40463</v>
      </c>
    </row>
    <row r="62" spans="1:34" ht="14.25" customHeight="1">
      <c r="A62" s="289"/>
      <c r="B62" s="328"/>
      <c r="C62" s="405"/>
      <c r="D62" s="309"/>
      <c r="E62" s="281"/>
      <c r="F62" s="281"/>
      <c r="G62" s="85" t="str">
        <f>LEFT(VLOOKUP(G61,'参加チーム'!$B$5:$G$73,6,FALSE),2)</f>
        <v>宮城</v>
      </c>
      <c r="H62" s="317"/>
      <c r="I62" s="281"/>
      <c r="J62" s="116"/>
      <c r="K62" s="302"/>
      <c r="L62" s="116"/>
      <c r="M62" s="281"/>
      <c r="N62" s="85" t="str">
        <f>LEFT(VLOOKUP(N61,'参加チーム'!$B$5:$G$73,6,FALSE),2)</f>
        <v>福島</v>
      </c>
      <c r="O62" s="317"/>
      <c r="P62" s="307"/>
      <c r="Q62" s="323"/>
      <c r="S62" s="20" t="str">
        <f>+"後"&amp;N61&amp;G61</f>
        <v>後南Ｂ南Ａ</v>
      </c>
      <c r="T62" s="16">
        <f>IF(M63&lt;&gt;"",M63,"")</f>
      </c>
      <c r="U62" s="16">
        <f>IF(I63&lt;&gt;"",I63,"")</f>
      </c>
      <c r="V62" s="21">
        <f>+B61</f>
        <v>40463</v>
      </c>
      <c r="W62" s="14">
        <f>+F61-$W$2</f>
        <v>0.3958333333333333</v>
      </c>
      <c r="X62" s="14">
        <f t="shared" si="5"/>
        <v>10</v>
      </c>
      <c r="Y62" s="14">
        <f t="shared" si="6"/>
        <v>13</v>
      </c>
      <c r="Z62" s="14" t="str">
        <f t="shared" si="7"/>
        <v>10/13</v>
      </c>
      <c r="AA62" s="14" t="str">
        <f t="shared" si="8"/>
        <v>△</v>
      </c>
      <c r="AB62" s="14">
        <f>IF(T62&lt;&gt;"",O63,"")</f>
      </c>
      <c r="AC62" s="117" t="str">
        <f>+Z62&amp;" "&amp;AA62&amp;" "&amp;T62&amp;"-"&amp;U62&amp;" "&amp;H63</f>
        <v>10/13 △ - Craque</v>
      </c>
      <c r="AD62" s="14">
        <f>+L63</f>
        <v>0</v>
      </c>
      <c r="AE62" s="14">
        <f>+L64</f>
        <v>0</v>
      </c>
      <c r="AF62" s="14">
        <f>+J63</f>
        <v>0</v>
      </c>
      <c r="AG62" s="14">
        <f>+J64</f>
        <v>0</v>
      </c>
      <c r="AH62" s="121">
        <f t="shared" si="9"/>
        <v>40463</v>
      </c>
    </row>
    <row r="63" spans="1:34" ht="14.25" customHeight="1">
      <c r="A63" s="289"/>
      <c r="B63" s="328"/>
      <c r="C63" s="405"/>
      <c r="D63" s="297">
        <v>2</v>
      </c>
      <c r="E63" s="282">
        <v>0.45138888888888895</v>
      </c>
      <c r="F63" s="282">
        <v>0.513888888888889</v>
      </c>
      <c r="G63" s="86" t="s">
        <v>7</v>
      </c>
      <c r="H63" s="316" t="str">
        <f>VLOOKUP($G63,'参加チーム'!$B$5:$G$73,IF($N$2=1,4,5),FALSE)</f>
        <v>Craque</v>
      </c>
      <c r="I63" s="408">
        <f>IF(J63&lt;&gt;"",J63+J64,"")</f>
      </c>
      <c r="J63" s="159"/>
      <c r="K63" s="410" t="s">
        <v>86</v>
      </c>
      <c r="L63" s="159"/>
      <c r="M63" s="408">
        <f>IF(L63&lt;&gt;"",L63+L64,"")</f>
      </c>
      <c r="N63" s="151" t="s">
        <v>6</v>
      </c>
      <c r="O63" s="316" t="str">
        <f>VLOOKUP($N63,'参加チーム'!$B$5:$G$73,IF($N$2=1,4,5),FALSE)</f>
        <v>カメレオン</v>
      </c>
      <c r="P63" s="409" t="str">
        <f>+O63</f>
        <v>カメレオン</v>
      </c>
      <c r="Q63" s="323"/>
      <c r="S63" s="20" t="str">
        <f>+"後"&amp;G63&amp;N63</f>
        <v>後南Ｆ南Ｅ</v>
      </c>
      <c r="T63" s="16">
        <f>IF(I61&lt;&gt;"",I61,"")</f>
      </c>
      <c r="U63" s="16">
        <f>IF(M61&lt;&gt;"",M61,"")</f>
      </c>
      <c r="V63" s="21">
        <f>+B61</f>
        <v>40463</v>
      </c>
      <c r="X63" s="117">
        <f t="shared" si="5"/>
        <v>10</v>
      </c>
      <c r="Y63" s="117">
        <f t="shared" si="6"/>
        <v>13</v>
      </c>
      <c r="Z63" s="117" t="str">
        <f t="shared" si="7"/>
        <v>10/13</v>
      </c>
      <c r="AA63" s="117" t="str">
        <f t="shared" si="8"/>
        <v>△</v>
      </c>
      <c r="AB63" s="14">
        <f>IF(T63&lt;&gt;"",H61,"")</f>
      </c>
      <c r="AC63" s="117" t="str">
        <f>+Z63&amp;" "&amp;AA63&amp;" "&amp;T63&amp;"-"&amp;U63&amp;" "&amp;O61</f>
        <v>10/13 △ - アトレチコ</v>
      </c>
      <c r="AD63" s="14">
        <f>+J61</f>
        <v>0</v>
      </c>
      <c r="AE63" s="14">
        <f>+J62</f>
        <v>0</v>
      </c>
      <c r="AF63" s="14">
        <f>+L61</f>
        <v>0</v>
      </c>
      <c r="AG63" s="14">
        <f>+L62</f>
        <v>0</v>
      </c>
      <c r="AH63" s="121">
        <f t="shared" si="9"/>
        <v>40463</v>
      </c>
    </row>
    <row r="64" spans="1:34" ht="14.25" customHeight="1">
      <c r="A64" s="289"/>
      <c r="B64" s="328"/>
      <c r="C64" s="327" t="s">
        <v>241</v>
      </c>
      <c r="D64" s="309"/>
      <c r="E64" s="281"/>
      <c r="F64" s="281"/>
      <c r="G64" s="85" t="str">
        <f>LEFT(VLOOKUP(G63,'参加チーム'!$B$5:$G$73,6,FALSE),2)</f>
        <v>山形</v>
      </c>
      <c r="H64" s="317"/>
      <c r="I64" s="281"/>
      <c r="J64" s="116"/>
      <c r="K64" s="302"/>
      <c r="L64" s="116"/>
      <c r="M64" s="281"/>
      <c r="N64" s="85" t="str">
        <f>LEFT(VLOOKUP(N63,'参加チーム'!$B$5:$G$73,6,FALSE),2)</f>
        <v>山形</v>
      </c>
      <c r="O64" s="317"/>
      <c r="P64" s="307"/>
      <c r="Q64" s="323"/>
      <c r="S64" s="20" t="str">
        <f>+"後"&amp;N63&amp;G63</f>
        <v>後南Ｅ南Ｆ</v>
      </c>
      <c r="T64" s="16">
        <f>IF(M61&lt;&gt;"",M61,"")</f>
      </c>
      <c r="U64" s="16">
        <f>IF(I61&lt;&gt;"",I61,"")</f>
      </c>
      <c r="V64" s="21">
        <f>+B61</f>
        <v>40463</v>
      </c>
      <c r="W64" s="14">
        <f>+F63-$W$3</f>
        <v>0.45138888888888895</v>
      </c>
      <c r="X64" s="117">
        <f t="shared" si="5"/>
        <v>10</v>
      </c>
      <c r="Y64" s="117">
        <f t="shared" si="6"/>
        <v>13</v>
      </c>
      <c r="Z64" s="117" t="str">
        <f t="shared" si="7"/>
        <v>10/13</v>
      </c>
      <c r="AA64" s="117" t="str">
        <f t="shared" si="8"/>
        <v>△</v>
      </c>
      <c r="AB64" s="14">
        <f>IF(T64&lt;&gt;"",O61,"")</f>
      </c>
      <c r="AC64" s="117" t="str">
        <f>+Z64&amp;" "&amp;AA64&amp;" "&amp;T64&amp;"-"&amp;U64&amp;" "&amp;H61</f>
        <v>10/13 △ - Zoorasia</v>
      </c>
      <c r="AD64" s="14">
        <f>+L61</f>
        <v>0</v>
      </c>
      <c r="AE64" s="14">
        <f>+L62</f>
        <v>0</v>
      </c>
      <c r="AF64" s="14">
        <f>+J61</f>
        <v>0</v>
      </c>
      <c r="AG64" s="14">
        <f>+J62</f>
        <v>0</v>
      </c>
      <c r="AH64" s="121">
        <f t="shared" si="9"/>
        <v>40463</v>
      </c>
    </row>
    <row r="65" spans="1:34" ht="14.25">
      <c r="A65" s="289"/>
      <c r="B65" s="328"/>
      <c r="C65" s="439"/>
      <c r="D65" s="297">
        <v>3</v>
      </c>
      <c r="E65" s="283">
        <v>0.5277777777777778</v>
      </c>
      <c r="F65" s="282">
        <v>0.5902777777777778</v>
      </c>
      <c r="G65" s="86" t="s">
        <v>4</v>
      </c>
      <c r="H65" s="316" t="str">
        <f>VLOOKUP($G65,'参加チーム'!$B$5:$G$73,IF($N$2=1,4,5),FALSE)</f>
        <v>ULTIMO</v>
      </c>
      <c r="I65" s="304">
        <f>IF(J65&lt;&gt;"",J65+J66,"")</f>
      </c>
      <c r="J65" s="116"/>
      <c r="K65" s="303" t="s">
        <v>86</v>
      </c>
      <c r="L65" s="116"/>
      <c r="M65" s="304">
        <f>IF(L65&lt;&gt;"",L65+L66,"")</f>
      </c>
      <c r="N65" s="86" t="s">
        <v>3</v>
      </c>
      <c r="O65" s="316" t="str">
        <f>VLOOKUP($N65,'参加チーム'!$B$5:$G$73,IF($N$2=1,4,5),FALSE)</f>
        <v>azul</v>
      </c>
      <c r="P65" s="325" t="str">
        <f>+O65</f>
        <v>azul</v>
      </c>
      <c r="Q65" s="323"/>
      <c r="S65" s="20" t="str">
        <f>+"後"&amp;G65&amp;N65</f>
        <v>後南Ｄ南Ｃ</v>
      </c>
      <c r="T65" s="16">
        <f>IF(I65&lt;&gt;"",I65,"")</f>
      </c>
      <c r="U65" s="16">
        <f>IF(M65&lt;&gt;"",M65,"")</f>
      </c>
      <c r="V65" s="21">
        <f>+B61</f>
        <v>40463</v>
      </c>
      <c r="X65" s="117">
        <f t="shared" si="5"/>
        <v>10</v>
      </c>
      <c r="Y65" s="117">
        <f t="shared" si="6"/>
        <v>13</v>
      </c>
      <c r="Z65" s="117" t="str">
        <f t="shared" si="7"/>
        <v>10/13</v>
      </c>
      <c r="AA65" s="117" t="str">
        <f t="shared" si="8"/>
        <v>△</v>
      </c>
      <c r="AB65" s="14">
        <f>IF(T65&lt;&gt;"",H65,"")</f>
      </c>
      <c r="AC65" s="117" t="str">
        <f>+Z65&amp;" "&amp;AA65&amp;" "&amp;T65&amp;"-"&amp;U65&amp;" "&amp;O65</f>
        <v>10/13 △ - azul</v>
      </c>
      <c r="AD65" s="14">
        <f>+J65</f>
        <v>0</v>
      </c>
      <c r="AE65" s="14">
        <f>+J66</f>
        <v>0</v>
      </c>
      <c r="AF65" s="14">
        <f>+L65</f>
        <v>0</v>
      </c>
      <c r="AG65" s="14">
        <f>+L66</f>
        <v>0</v>
      </c>
      <c r="AH65" s="121">
        <f t="shared" si="9"/>
        <v>40463</v>
      </c>
    </row>
    <row r="66" spans="1:34" ht="15" thickBot="1">
      <c r="A66" s="290"/>
      <c r="B66" s="329"/>
      <c r="C66" s="440"/>
      <c r="D66" s="298"/>
      <c r="E66" s="285"/>
      <c r="F66" s="305"/>
      <c r="G66" s="124" t="str">
        <f>LEFT(VLOOKUP(G65,'参加チーム'!$B$5:$G$73,6,FALSE),2)</f>
        <v>宮城</v>
      </c>
      <c r="H66" s="320"/>
      <c r="I66" s="305"/>
      <c r="J66" s="125"/>
      <c r="K66" s="321"/>
      <c r="L66" s="125"/>
      <c r="M66" s="305"/>
      <c r="N66" s="124" t="str">
        <f>LEFT(VLOOKUP(N65,'参加チーム'!$B$5:$G$73,6,FALSE),2)</f>
        <v>宮城</v>
      </c>
      <c r="O66" s="320"/>
      <c r="P66" s="315"/>
      <c r="Q66" s="324"/>
      <c r="S66" s="22" t="str">
        <f>+"後"&amp;N65&amp;G65</f>
        <v>後南Ｃ南Ｄ</v>
      </c>
      <c r="T66" s="23">
        <f>IF(M65&lt;&gt;"",M65,"")</f>
      </c>
      <c r="U66" s="23">
        <f>IF(I65&lt;&gt;"",I65,"")</f>
      </c>
      <c r="V66" s="24">
        <f>+B61</f>
        <v>40463</v>
      </c>
      <c r="W66" s="14">
        <f>+F65-$W$3</f>
        <v>0.5277777777777778</v>
      </c>
      <c r="X66" s="117">
        <f t="shared" si="5"/>
        <v>10</v>
      </c>
      <c r="Y66" s="117">
        <f t="shared" si="6"/>
        <v>13</v>
      </c>
      <c r="Z66" s="117" t="str">
        <f t="shared" si="7"/>
        <v>10/13</v>
      </c>
      <c r="AA66" s="117" t="str">
        <f t="shared" si="8"/>
        <v>△</v>
      </c>
      <c r="AB66" s="14">
        <f>IF(T66&lt;&gt;"",O65,"")</f>
      </c>
      <c r="AC66" s="117" t="str">
        <f>+Z66&amp;" "&amp;AA66&amp;" "&amp;T66&amp;"-"&amp;U66&amp;" "&amp;H65</f>
        <v>10/13 △ - ULTIMO</v>
      </c>
      <c r="AD66" s="14">
        <f>+L65</f>
        <v>0</v>
      </c>
      <c r="AE66" s="14">
        <f>+L66</f>
        <v>0</v>
      </c>
      <c r="AF66" s="14">
        <f>+J65</f>
        <v>0</v>
      </c>
      <c r="AG66" s="14">
        <f>+J66</f>
        <v>0</v>
      </c>
      <c r="AH66" s="121">
        <f t="shared" si="9"/>
        <v>40463</v>
      </c>
    </row>
    <row r="67" spans="24:29" ht="14.25">
      <c r="X67" s="117"/>
      <c r="Y67" s="117"/>
      <c r="Z67" s="117"/>
      <c r="AA67" s="117"/>
      <c r="AC67" s="117"/>
    </row>
    <row r="68" spans="24:29" ht="14.25">
      <c r="X68" s="117"/>
      <c r="Y68" s="117"/>
      <c r="Z68" s="117"/>
      <c r="AA68" s="117"/>
      <c r="AC68" s="117"/>
    </row>
    <row r="69" spans="24:29" ht="14.25">
      <c r="X69" s="117"/>
      <c r="Y69" s="117"/>
      <c r="Z69" s="117"/>
      <c r="AA69" s="117"/>
      <c r="AC69" s="117"/>
    </row>
    <row r="70" spans="24:29" ht="14.25">
      <c r="X70" s="117"/>
      <c r="Y70" s="117"/>
      <c r="Z70" s="117"/>
      <c r="AA70" s="117"/>
      <c r="AC70" s="117"/>
    </row>
    <row r="71" spans="7:29" ht="14.25">
      <c r="G71" s="115" t="s">
        <v>105</v>
      </c>
      <c r="X71" s="117"/>
      <c r="Y71" s="117"/>
      <c r="Z71" s="117"/>
      <c r="AA71" s="117"/>
      <c r="AC71" s="117"/>
    </row>
    <row r="72" spans="7:29" ht="14.25">
      <c r="G72" s="115" t="s">
        <v>129</v>
      </c>
      <c r="X72" s="117"/>
      <c r="Y72" s="117"/>
      <c r="Z72" s="117"/>
      <c r="AA72" s="117"/>
      <c r="AC72" s="117"/>
    </row>
    <row r="73" spans="7:29" ht="14.25">
      <c r="G73" s="115" t="s">
        <v>106</v>
      </c>
      <c r="X73" s="117"/>
      <c r="Y73" s="117"/>
      <c r="Z73" s="117"/>
      <c r="AA73" s="117"/>
      <c r="AC73" s="117"/>
    </row>
    <row r="74" spans="7:29" ht="14.25">
      <c r="G74" s="115" t="s">
        <v>126</v>
      </c>
      <c r="X74" s="117"/>
      <c r="Y74" s="117"/>
      <c r="Z74" s="117"/>
      <c r="AA74" s="117"/>
      <c r="AC74" s="117"/>
    </row>
    <row r="75" spans="7:29" ht="14.25">
      <c r="G75" s="115" t="s">
        <v>127</v>
      </c>
      <c r="X75" s="117"/>
      <c r="Y75" s="117"/>
      <c r="Z75" s="117"/>
      <c r="AA75" s="117"/>
      <c r="AC75" s="117"/>
    </row>
    <row r="76" spans="7:29" ht="14.25">
      <c r="G76" s="115" t="s">
        <v>128</v>
      </c>
      <c r="X76" s="117"/>
      <c r="Y76" s="117"/>
      <c r="Z76" s="117"/>
      <c r="AA76" s="117"/>
      <c r="AC76" s="117"/>
    </row>
    <row r="77" spans="24:29" ht="14.25">
      <c r="X77" s="117"/>
      <c r="Y77" s="117"/>
      <c r="Z77" s="117"/>
      <c r="AA77" s="117"/>
      <c r="AC77" s="117"/>
    </row>
    <row r="78" spans="24:29" ht="14.25">
      <c r="X78" s="117"/>
      <c r="Y78" s="117"/>
      <c r="Z78" s="117"/>
      <c r="AA78" s="117"/>
      <c r="AC78" s="117"/>
    </row>
    <row r="79" spans="24:29" ht="14.25">
      <c r="X79" s="117"/>
      <c r="Y79" s="117"/>
      <c r="Z79" s="117"/>
      <c r="AA79" s="117"/>
      <c r="AC79" s="117"/>
    </row>
    <row r="80" spans="24:29" ht="14.25">
      <c r="X80" s="117"/>
      <c r="Y80" s="117"/>
      <c r="Z80" s="117"/>
      <c r="AA80" s="117"/>
      <c r="AC80" s="117"/>
    </row>
    <row r="81" spans="24:29" ht="14.25">
      <c r="X81" s="117"/>
      <c r="Y81" s="117"/>
      <c r="Z81" s="117"/>
      <c r="AA81" s="117"/>
      <c r="AC81" s="117"/>
    </row>
    <row r="82" spans="24:29" ht="14.25">
      <c r="X82" s="117"/>
      <c r="Y82" s="117"/>
      <c r="Z82" s="117"/>
      <c r="AA82" s="117"/>
      <c r="AC82" s="117"/>
    </row>
    <row r="83" spans="24:29" ht="14.25">
      <c r="X83" s="117"/>
      <c r="Y83" s="117"/>
      <c r="Z83" s="117"/>
      <c r="AA83" s="117"/>
      <c r="AC83" s="117"/>
    </row>
    <row r="84" spans="24:29" ht="14.25">
      <c r="X84" s="117"/>
      <c r="Y84" s="117"/>
      <c r="Z84" s="117"/>
      <c r="AA84" s="117"/>
      <c r="AC84" s="117"/>
    </row>
    <row r="85" spans="24:29" ht="14.25">
      <c r="X85" s="117"/>
      <c r="Y85" s="117"/>
      <c r="Z85" s="117"/>
      <c r="AA85" s="117"/>
      <c r="AC85" s="117"/>
    </row>
    <row r="86" spans="24:29" ht="14.25">
      <c r="X86" s="117"/>
      <c r="Y86" s="117"/>
      <c r="Z86" s="117"/>
      <c r="AA86" s="117"/>
      <c r="AC86" s="117"/>
    </row>
    <row r="87" spans="24:29" ht="14.25">
      <c r="X87" s="117"/>
      <c r="Y87" s="117"/>
      <c r="Z87" s="117"/>
      <c r="AA87" s="117"/>
      <c r="AC87" s="117"/>
    </row>
    <row r="88" spans="24:29" ht="14.25">
      <c r="X88" s="117"/>
      <c r="Y88" s="117"/>
      <c r="Z88" s="117"/>
      <c r="AA88" s="117"/>
      <c r="AC88" s="117"/>
    </row>
    <row r="89" spans="1:29" ht="14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X89" s="117"/>
      <c r="Y89" s="117"/>
      <c r="Z89" s="117"/>
      <c r="AA89" s="117"/>
      <c r="AC89" s="117"/>
    </row>
    <row r="90" spans="24:29" ht="14.25">
      <c r="X90" s="117"/>
      <c r="Y90" s="117"/>
      <c r="Z90" s="117"/>
      <c r="AA90" s="117"/>
      <c r="AC90" s="117"/>
    </row>
    <row r="91" spans="24:29" ht="14.25">
      <c r="X91" s="117"/>
      <c r="Y91" s="117"/>
      <c r="Z91" s="117"/>
      <c r="AA91" s="117"/>
      <c r="AC91" s="117"/>
    </row>
    <row r="92" spans="24:29" ht="14.25">
      <c r="X92" s="117"/>
      <c r="Y92" s="117"/>
      <c r="Z92" s="117"/>
      <c r="AA92" s="117"/>
      <c r="AC92" s="117"/>
    </row>
    <row r="93" spans="24:29" ht="14.25">
      <c r="X93" s="117"/>
      <c r="Y93" s="117"/>
      <c r="Z93" s="117"/>
      <c r="AA93" s="117"/>
      <c r="AC93" s="117"/>
    </row>
    <row r="94" spans="24:29" ht="14.25">
      <c r="X94" s="117"/>
      <c r="Y94" s="117"/>
      <c r="Z94" s="117"/>
      <c r="AA94" s="117"/>
      <c r="AC94" s="117"/>
    </row>
    <row r="95" spans="24:29" ht="14.25">
      <c r="X95" s="117"/>
      <c r="Y95" s="117"/>
      <c r="Z95" s="117"/>
      <c r="AA95" s="117"/>
      <c r="AC95" s="117"/>
    </row>
    <row r="96" spans="24:29" ht="14.25">
      <c r="X96" s="117"/>
      <c r="Y96" s="117"/>
      <c r="Z96" s="117"/>
      <c r="AA96" s="117"/>
      <c r="AC96" s="117"/>
    </row>
    <row r="97" spans="24:29" ht="14.25">
      <c r="X97" s="117"/>
      <c r="Y97" s="117"/>
      <c r="Z97" s="117"/>
      <c r="AA97" s="117"/>
      <c r="AC97" s="117"/>
    </row>
    <row r="98" spans="24:29" ht="14.25">
      <c r="X98" s="117"/>
      <c r="Y98" s="117"/>
      <c r="Z98" s="117"/>
      <c r="AA98" s="117"/>
      <c r="AC98" s="117"/>
    </row>
    <row r="99" spans="24:29" ht="14.25">
      <c r="X99" s="117"/>
      <c r="Y99" s="117"/>
      <c r="Z99" s="117"/>
      <c r="AA99" s="117"/>
      <c r="AC99" s="117"/>
    </row>
    <row r="100" spans="24:29" ht="14.25">
      <c r="X100" s="117"/>
      <c r="Y100" s="117"/>
      <c r="Z100" s="117"/>
      <c r="AA100" s="117"/>
      <c r="AC100" s="117"/>
    </row>
    <row r="101" spans="24:29" ht="14.25">
      <c r="X101" s="117"/>
      <c r="Y101" s="117"/>
      <c r="Z101" s="117"/>
      <c r="AA101" s="117"/>
      <c r="AC101" s="117"/>
    </row>
    <row r="102" spans="24:29" ht="14.25">
      <c r="X102" s="117"/>
      <c r="Y102" s="117"/>
      <c r="Z102" s="117"/>
      <c r="AA102" s="117"/>
      <c r="AC102" s="117"/>
    </row>
    <row r="103" spans="24:29" ht="14.25">
      <c r="X103" s="117"/>
      <c r="Y103" s="117"/>
      <c r="Z103" s="117"/>
      <c r="AA103" s="117"/>
      <c r="AC103" s="117"/>
    </row>
    <row r="104" spans="24:29" ht="14.25">
      <c r="X104" s="117"/>
      <c r="Y104" s="117"/>
      <c r="Z104" s="117"/>
      <c r="AA104" s="117"/>
      <c r="AC104" s="117"/>
    </row>
    <row r="105" spans="24:29" ht="14.25">
      <c r="X105" s="117"/>
      <c r="Y105" s="117"/>
      <c r="Z105" s="117"/>
      <c r="AA105" s="117"/>
      <c r="AC105" s="117"/>
    </row>
    <row r="106" spans="24:29" ht="14.25">
      <c r="X106" s="117"/>
      <c r="Y106" s="117"/>
      <c r="Z106" s="117"/>
      <c r="AA106" s="117"/>
      <c r="AC106" s="117"/>
    </row>
    <row r="107" spans="24:29" ht="14.25">
      <c r="X107" s="117"/>
      <c r="Y107" s="117"/>
      <c r="Z107" s="117"/>
      <c r="AA107" s="117"/>
      <c r="AC107" s="117"/>
    </row>
    <row r="108" spans="24:29" ht="14.25">
      <c r="X108" s="117"/>
      <c r="Y108" s="117"/>
      <c r="Z108" s="117"/>
      <c r="AA108" s="117"/>
      <c r="AC108" s="117"/>
    </row>
    <row r="109" spans="24:29" ht="14.25">
      <c r="X109" s="117"/>
      <c r="Y109" s="117"/>
      <c r="Z109" s="117"/>
      <c r="AA109" s="117"/>
      <c r="AC109" s="117"/>
    </row>
    <row r="110" spans="24:29" ht="14.25">
      <c r="X110" s="117"/>
      <c r="Y110" s="117"/>
      <c r="Z110" s="117"/>
      <c r="AA110" s="117"/>
      <c r="AC110" s="117"/>
    </row>
    <row r="111" spans="24:29" ht="14.25">
      <c r="X111" s="117"/>
      <c r="Y111" s="117"/>
      <c r="Z111" s="117"/>
      <c r="AA111" s="117"/>
      <c r="AC111" s="117"/>
    </row>
    <row r="112" spans="24:29" ht="14.25">
      <c r="X112" s="117"/>
      <c r="Y112" s="117"/>
      <c r="Z112" s="117"/>
      <c r="AA112" s="117"/>
      <c r="AC112" s="117"/>
    </row>
    <row r="113" spans="24:29" ht="14.25">
      <c r="X113" s="117"/>
      <c r="Y113" s="117"/>
      <c r="Z113" s="117"/>
      <c r="AA113" s="117"/>
      <c r="AC113" s="117"/>
    </row>
    <row r="114" spans="24:29" ht="14.25">
      <c r="X114" s="117"/>
      <c r="Y114" s="117"/>
      <c r="Z114" s="117"/>
      <c r="AA114" s="117"/>
      <c r="AC114" s="117"/>
    </row>
    <row r="115" spans="24:29" ht="14.25">
      <c r="X115" s="117"/>
      <c r="Y115" s="117"/>
      <c r="Z115" s="117"/>
      <c r="AA115" s="117"/>
      <c r="AC115" s="117"/>
    </row>
    <row r="116" spans="24:29" ht="14.25">
      <c r="X116" s="117"/>
      <c r="Y116" s="117"/>
      <c r="Z116" s="117"/>
      <c r="AA116" s="117"/>
      <c r="AC116" s="117"/>
    </row>
    <row r="117" spans="24:29" ht="14.25">
      <c r="X117" s="117"/>
      <c r="Y117" s="117"/>
      <c r="Z117" s="117"/>
      <c r="AA117" s="117"/>
      <c r="AC117" s="117"/>
    </row>
    <row r="118" spans="24:29" ht="14.25">
      <c r="X118" s="117"/>
      <c r="Y118" s="117"/>
      <c r="Z118" s="117"/>
      <c r="AA118" s="117"/>
      <c r="AC118" s="117"/>
    </row>
    <row r="119" spans="24:29" ht="14.25">
      <c r="X119" s="117"/>
      <c r="Y119" s="117"/>
      <c r="Z119" s="117"/>
      <c r="AA119" s="117"/>
      <c r="AC119" s="117"/>
    </row>
    <row r="120" spans="24:29" ht="14.25">
      <c r="X120" s="117"/>
      <c r="Y120" s="117"/>
      <c r="Z120" s="117"/>
      <c r="AA120" s="117"/>
      <c r="AC120" s="117"/>
    </row>
  </sheetData>
  <sheetProtection sheet="1" objects="1" scenarios="1"/>
  <mergeCells count="322">
    <mergeCell ref="I12:I13"/>
    <mergeCell ref="H14:H15"/>
    <mergeCell ref="P6:P7"/>
    <mergeCell ref="O4:O5"/>
    <mergeCell ref="O6:O7"/>
    <mergeCell ref="H4:H5"/>
    <mergeCell ref="H6:H7"/>
    <mergeCell ref="I6:I7"/>
    <mergeCell ref="O10:O11"/>
    <mergeCell ref="Q4:Q9"/>
    <mergeCell ref="P4:P5"/>
    <mergeCell ref="P8:P9"/>
    <mergeCell ref="P10:P11"/>
    <mergeCell ref="Q10:Q15"/>
    <mergeCell ref="O8:O9"/>
    <mergeCell ref="O12:O13"/>
    <mergeCell ref="P12:P13"/>
    <mergeCell ref="P14:P15"/>
    <mergeCell ref="H8:H9"/>
    <mergeCell ref="I8:I9"/>
    <mergeCell ref="K10:K11"/>
    <mergeCell ref="M10:M11"/>
    <mergeCell ref="K8:K9"/>
    <mergeCell ref="M8:M9"/>
    <mergeCell ref="F14:F15"/>
    <mergeCell ref="F8:F9"/>
    <mergeCell ref="C4:C6"/>
    <mergeCell ref="C7:C9"/>
    <mergeCell ref="D4:D5"/>
    <mergeCell ref="F6:F7"/>
    <mergeCell ref="D14:D15"/>
    <mergeCell ref="D8:D9"/>
    <mergeCell ref="D12:D13"/>
    <mergeCell ref="B4:B9"/>
    <mergeCell ref="K6:K7"/>
    <mergeCell ref="M6:M7"/>
    <mergeCell ref="A10:A15"/>
    <mergeCell ref="B10:B15"/>
    <mergeCell ref="A4:A9"/>
    <mergeCell ref="D6:D7"/>
    <mergeCell ref="C10:C12"/>
    <mergeCell ref="F12:F13"/>
    <mergeCell ref="F4:F5"/>
    <mergeCell ref="C13:C15"/>
    <mergeCell ref="I3:M3"/>
    <mergeCell ref="I4:I5"/>
    <mergeCell ref="K4:K5"/>
    <mergeCell ref="M4:M5"/>
    <mergeCell ref="C19:C21"/>
    <mergeCell ref="M12:M13"/>
    <mergeCell ref="D10:D11"/>
    <mergeCell ref="F10:F11"/>
    <mergeCell ref="H10:H11"/>
    <mergeCell ref="I10:I11"/>
    <mergeCell ref="I14:I15"/>
    <mergeCell ref="K14:K15"/>
    <mergeCell ref="K12:K13"/>
    <mergeCell ref="H12:H13"/>
    <mergeCell ref="O14:O15"/>
    <mergeCell ref="A16:A21"/>
    <mergeCell ref="B16:B21"/>
    <mergeCell ref="C16:C18"/>
    <mergeCell ref="D16:D17"/>
    <mergeCell ref="D18:D19"/>
    <mergeCell ref="M14:M15"/>
    <mergeCell ref="H16:H17"/>
    <mergeCell ref="I16:I17"/>
    <mergeCell ref="K16:K17"/>
    <mergeCell ref="F20:F21"/>
    <mergeCell ref="H20:H21"/>
    <mergeCell ref="I20:I21"/>
    <mergeCell ref="F16:F17"/>
    <mergeCell ref="D20:D21"/>
    <mergeCell ref="O16:O17"/>
    <mergeCell ref="P16:P17"/>
    <mergeCell ref="P20:P21"/>
    <mergeCell ref="M16:M17"/>
    <mergeCell ref="K20:K21"/>
    <mergeCell ref="F18:F19"/>
    <mergeCell ref="H18:H19"/>
    <mergeCell ref="I18:I19"/>
    <mergeCell ref="K18:K19"/>
    <mergeCell ref="Q16:Q21"/>
    <mergeCell ref="M18:M19"/>
    <mergeCell ref="O18:O19"/>
    <mergeCell ref="P18:P19"/>
    <mergeCell ref="M20:M21"/>
    <mergeCell ref="O20:O21"/>
    <mergeCell ref="F24:F25"/>
    <mergeCell ref="F26:F27"/>
    <mergeCell ref="F22:F23"/>
    <mergeCell ref="E22:E23"/>
    <mergeCell ref="E24:E25"/>
    <mergeCell ref="E26:E27"/>
    <mergeCell ref="A22:A27"/>
    <mergeCell ref="B22:B27"/>
    <mergeCell ref="C22:C24"/>
    <mergeCell ref="D22:D23"/>
    <mergeCell ref="D24:D25"/>
    <mergeCell ref="C25:C27"/>
    <mergeCell ref="D26:D27"/>
    <mergeCell ref="Q22:Q27"/>
    <mergeCell ref="M24:M25"/>
    <mergeCell ref="O24:O25"/>
    <mergeCell ref="P24:P25"/>
    <mergeCell ref="M26:M27"/>
    <mergeCell ref="O26:O27"/>
    <mergeCell ref="P26:P27"/>
    <mergeCell ref="O22:O23"/>
    <mergeCell ref="P22:P23"/>
    <mergeCell ref="M22:M23"/>
    <mergeCell ref="Q28:Q33"/>
    <mergeCell ref="M30:M31"/>
    <mergeCell ref="O30:O31"/>
    <mergeCell ref="P30:P31"/>
    <mergeCell ref="M32:M33"/>
    <mergeCell ref="O32:O33"/>
    <mergeCell ref="P28:P29"/>
    <mergeCell ref="O28:O29"/>
    <mergeCell ref="P32:P33"/>
    <mergeCell ref="M28:M29"/>
    <mergeCell ref="H22:H23"/>
    <mergeCell ref="I22:I23"/>
    <mergeCell ref="K22:K23"/>
    <mergeCell ref="H30:H31"/>
    <mergeCell ref="F28:F29"/>
    <mergeCell ref="E28:E29"/>
    <mergeCell ref="E30:E31"/>
    <mergeCell ref="E32:E33"/>
    <mergeCell ref="F32:F33"/>
    <mergeCell ref="C31:C33"/>
    <mergeCell ref="D32:D33"/>
    <mergeCell ref="F30:F31"/>
    <mergeCell ref="A28:A33"/>
    <mergeCell ref="B28:B33"/>
    <mergeCell ref="C28:C30"/>
    <mergeCell ref="D28:D29"/>
    <mergeCell ref="D30:D31"/>
    <mergeCell ref="K28:K29"/>
    <mergeCell ref="I30:I31"/>
    <mergeCell ref="K30:K31"/>
    <mergeCell ref="I28:I29"/>
    <mergeCell ref="I32:I33"/>
    <mergeCell ref="K32:K33"/>
    <mergeCell ref="H32:H33"/>
    <mergeCell ref="K24:K25"/>
    <mergeCell ref="I26:I27"/>
    <mergeCell ref="H24:H25"/>
    <mergeCell ref="I24:I25"/>
    <mergeCell ref="K26:K27"/>
    <mergeCell ref="H26:H27"/>
    <mergeCell ref="H28:H29"/>
    <mergeCell ref="P41:P42"/>
    <mergeCell ref="P37:P38"/>
    <mergeCell ref="H37:H38"/>
    <mergeCell ref="E37:E38"/>
    <mergeCell ref="Q37:Q42"/>
    <mergeCell ref="I39:I40"/>
    <mergeCell ref="K39:K40"/>
    <mergeCell ref="M39:M40"/>
    <mergeCell ref="P39:P40"/>
    <mergeCell ref="M41:M42"/>
    <mergeCell ref="I41:I42"/>
    <mergeCell ref="I37:I38"/>
    <mergeCell ref="K37:K38"/>
    <mergeCell ref="K41:K42"/>
    <mergeCell ref="M37:M38"/>
    <mergeCell ref="O37:O38"/>
    <mergeCell ref="I36:M36"/>
    <mergeCell ref="A37:A42"/>
    <mergeCell ref="B37:B42"/>
    <mergeCell ref="C37:C39"/>
    <mergeCell ref="D37:D38"/>
    <mergeCell ref="C40:C42"/>
    <mergeCell ref="F37:F38"/>
    <mergeCell ref="H45:H46"/>
    <mergeCell ref="H47:H48"/>
    <mergeCell ref="E39:E40"/>
    <mergeCell ref="E41:E42"/>
    <mergeCell ref="E43:E44"/>
    <mergeCell ref="F47:F48"/>
    <mergeCell ref="D39:D40"/>
    <mergeCell ref="F39:F40"/>
    <mergeCell ref="F45:F46"/>
    <mergeCell ref="D41:D42"/>
    <mergeCell ref="F41:F42"/>
    <mergeCell ref="F43:F44"/>
    <mergeCell ref="O41:O42"/>
    <mergeCell ref="O39:O40"/>
    <mergeCell ref="H39:H40"/>
    <mergeCell ref="H41:H42"/>
    <mergeCell ref="H43:H44"/>
    <mergeCell ref="A43:A48"/>
    <mergeCell ref="B43:B48"/>
    <mergeCell ref="C43:C45"/>
    <mergeCell ref="D43:D44"/>
    <mergeCell ref="D45:D46"/>
    <mergeCell ref="C46:C48"/>
    <mergeCell ref="D47:D48"/>
    <mergeCell ref="I47:I48"/>
    <mergeCell ref="K47:K48"/>
    <mergeCell ref="M43:M44"/>
    <mergeCell ref="O43:O44"/>
    <mergeCell ref="K43:K44"/>
    <mergeCell ref="I45:I46"/>
    <mergeCell ref="K45:K46"/>
    <mergeCell ref="P45:P46"/>
    <mergeCell ref="I49:I50"/>
    <mergeCell ref="H53:H54"/>
    <mergeCell ref="Q43:Q48"/>
    <mergeCell ref="M47:M48"/>
    <mergeCell ref="O47:O48"/>
    <mergeCell ref="P47:P48"/>
    <mergeCell ref="M45:M46"/>
    <mergeCell ref="O45:O46"/>
    <mergeCell ref="P43:P44"/>
    <mergeCell ref="I43:I44"/>
    <mergeCell ref="K53:K54"/>
    <mergeCell ref="K49:K50"/>
    <mergeCell ref="I53:I54"/>
    <mergeCell ref="F51:F52"/>
    <mergeCell ref="H51:H52"/>
    <mergeCell ref="I51:I52"/>
    <mergeCell ref="K51:K52"/>
    <mergeCell ref="F49:F50"/>
    <mergeCell ref="F53:F54"/>
    <mergeCell ref="H49:H50"/>
    <mergeCell ref="M53:M54"/>
    <mergeCell ref="O53:O54"/>
    <mergeCell ref="P53:P54"/>
    <mergeCell ref="A49:A54"/>
    <mergeCell ref="B49:B54"/>
    <mergeCell ref="C49:C51"/>
    <mergeCell ref="D49:D50"/>
    <mergeCell ref="D51:D52"/>
    <mergeCell ref="C52:C54"/>
    <mergeCell ref="D53:D54"/>
    <mergeCell ref="F57:F58"/>
    <mergeCell ref="H55:H56"/>
    <mergeCell ref="I55:I56"/>
    <mergeCell ref="Q49:Q54"/>
    <mergeCell ref="M51:M52"/>
    <mergeCell ref="O51:O52"/>
    <mergeCell ref="P51:P52"/>
    <mergeCell ref="M49:M50"/>
    <mergeCell ref="O49:O50"/>
    <mergeCell ref="P49:P50"/>
    <mergeCell ref="P57:P58"/>
    <mergeCell ref="H57:H58"/>
    <mergeCell ref="I57:I58"/>
    <mergeCell ref="K57:K58"/>
    <mergeCell ref="F55:F56"/>
    <mergeCell ref="Q55:Q60"/>
    <mergeCell ref="M55:M56"/>
    <mergeCell ref="O55:O56"/>
    <mergeCell ref="P59:P60"/>
    <mergeCell ref="M59:M60"/>
    <mergeCell ref="O59:O60"/>
    <mergeCell ref="P55:P56"/>
    <mergeCell ref="M57:M58"/>
    <mergeCell ref="O57:O58"/>
    <mergeCell ref="A55:A60"/>
    <mergeCell ref="B55:B60"/>
    <mergeCell ref="C55:C57"/>
    <mergeCell ref="D55:D56"/>
    <mergeCell ref="D57:D58"/>
    <mergeCell ref="C58:C60"/>
    <mergeCell ref="D59:D60"/>
    <mergeCell ref="F65:F66"/>
    <mergeCell ref="H65:H66"/>
    <mergeCell ref="I65:I66"/>
    <mergeCell ref="K65:K66"/>
    <mergeCell ref="K59:K60"/>
    <mergeCell ref="F63:F64"/>
    <mergeCell ref="H61:H62"/>
    <mergeCell ref="I61:I62"/>
    <mergeCell ref="K61:K62"/>
    <mergeCell ref="H63:H64"/>
    <mergeCell ref="I63:I64"/>
    <mergeCell ref="F59:F60"/>
    <mergeCell ref="H59:H60"/>
    <mergeCell ref="I59:I60"/>
    <mergeCell ref="K55:K56"/>
    <mergeCell ref="A61:A66"/>
    <mergeCell ref="B61:B66"/>
    <mergeCell ref="C61:C63"/>
    <mergeCell ref="D61:D62"/>
    <mergeCell ref="D63:D64"/>
    <mergeCell ref="C64:C66"/>
    <mergeCell ref="D65:D66"/>
    <mergeCell ref="K63:K64"/>
    <mergeCell ref="F61:F62"/>
    <mergeCell ref="Q61:Q66"/>
    <mergeCell ref="M61:M62"/>
    <mergeCell ref="O61:O62"/>
    <mergeCell ref="P61:P62"/>
    <mergeCell ref="M65:M66"/>
    <mergeCell ref="O65:O66"/>
    <mergeCell ref="P65:P66"/>
    <mergeCell ref="O63:O64"/>
    <mergeCell ref="P63:P64"/>
    <mergeCell ref="M63:M64"/>
    <mergeCell ref="E61:E62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63:E64"/>
    <mergeCell ref="E65:E66"/>
    <mergeCell ref="E45:E46"/>
    <mergeCell ref="E47:E48"/>
    <mergeCell ref="E49:E50"/>
    <mergeCell ref="E51:E52"/>
    <mergeCell ref="E53:E54"/>
    <mergeCell ref="E55:E56"/>
    <mergeCell ref="E57:E58"/>
    <mergeCell ref="E59:E60"/>
  </mergeCells>
  <dataValidations count="1">
    <dataValidation type="list" allowBlank="1" showInputMessage="1" showErrorMessage="1" sqref="N63 G59 G43 N55 N57 N49 N51 N53 N45 N47 N59 N65 N41 N39 N61 N37">
      <formula1>$G$71:$G$76</formula1>
    </dataValidation>
  </dataValidation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rowBreaks count="1" manualBreakCount="1">
    <brk id="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BANFFSPORTS :</dc:creator>
  <cp:keywords/>
  <dc:description/>
  <cp:lastModifiedBy>kosuke</cp:lastModifiedBy>
  <cp:lastPrinted>2014-08-14T01:45:47Z</cp:lastPrinted>
  <dcterms:created xsi:type="dcterms:W3CDTF">2008-04-12T02:31:38Z</dcterms:created>
  <dcterms:modified xsi:type="dcterms:W3CDTF">2014-08-16T03:16:54Z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